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66925"/>
  <xr:revisionPtr revIDLastSave="5" documentId="8_{F116AE15-D9BE-4456-990A-9B33C478AA08}" xr6:coauthVersionLast="47" xr6:coauthVersionMax="47" xr10:uidLastSave="{C5B52202-E5DA-4810-B71A-10BE7AAA739A}"/>
  <bookViews>
    <workbookView xWindow="-110" yWindow="-110" windowWidth="19420" windowHeight="10420" xr2:uid="{8E5759C5-4011-44E6-96AC-CFBE8EB5E896}"/>
  </bookViews>
  <sheets>
    <sheet name="12.5 MW diesel no tax" sheetId="1" r:id="rId1"/>
    <sheet name="12.5 MW diesel with tax" sheetId="2" r:id="rId2"/>
  </sheets>
  <externalReferences>
    <externalReference r:id="rId3"/>
    <externalReference r:id="rId4"/>
    <externalReference r:id="rId5"/>
  </externalReferences>
  <definedNames>
    <definedName name="BTU">#REF!</definedName>
    <definedName name="D_RATE" localSheetId="0">'12.5 MW diesel no tax'!#REF!</definedName>
    <definedName name="D_RATE" localSheetId="1">'12.5 MW diesel with tax'!#REF!</definedName>
    <definedName name="EFF">#REF!</definedName>
    <definedName name="END_CAPEX_YEAR" localSheetId="0">'12.5 MW diesel no tax'!$C$5</definedName>
    <definedName name="END_CAPEX_YEAR" localSheetId="1">'12.5 MW diesel with tax'!$C$5</definedName>
    <definedName name="END_CAPEX_YEAR">[1]Option1!$C$5</definedName>
    <definedName name="GWH" localSheetId="0">'12.5 MW diesel no tax'!$D$6</definedName>
    <definedName name="GWH" localSheetId="1">'12.5 MW diesel with tax'!$D$6</definedName>
    <definedName name="ID">'[2]Non-Ind. Data by Class'!#REF!</definedName>
    <definedName name="INFL" localSheetId="0">'12.5 MW diesel no tax'!$J$3</definedName>
    <definedName name="INFL" localSheetId="1">'12.5 MW diesel with tax'!$J$3</definedName>
    <definedName name="LIFE" localSheetId="0">'12.5 MW diesel no tax'!$D$9</definedName>
    <definedName name="LIFE" localSheetId="1">'12.5 MW diesel with tax'!$D$9</definedName>
    <definedName name="List">'[2]Non-Ind. Data by Class'!#REF!</definedName>
    <definedName name="LOSSES">[2]Assumptions!$A$6</definedName>
    <definedName name="_xlnm.Print_Area" localSheetId="0">'12.5 MW diesel no tax'!$A$1:$K$61</definedName>
    <definedName name="_xlnm.Print_Area" localSheetId="1">'12.5 MW diesel with tax'!$A$1:$K$61</definedName>
    <definedName name="REAL_D_RATE" localSheetId="0">'12.5 MW diesel no tax'!$J$4</definedName>
    <definedName name="REAL_D_RATE" localSheetId="1">'12.5 MW diesel with tax'!$J$4</definedName>
    <definedName name="REAL_D_RATE">[1]Option1!$L$4</definedName>
    <definedName name="Sc_ID">'[2]Non-Ind. Data by Class'!#REF!</definedName>
    <definedName name="USG">'[3]Summary Table'!$A$50</definedName>
    <definedName name="WACC" localSheetId="0">'12.5 MW diesel no tax'!$J$2</definedName>
    <definedName name="WACC" localSheetId="1">'12.5 MW diesel with tax'!$J$2</definedName>
    <definedName name="WACC">[1]Option1!$L$2</definedName>
    <definedName name="WACC2" localSheetId="0">'12.5 MW diesel no tax'!#REF!</definedName>
    <definedName name="WACC2" localSheetId="1">'12.5 MW diesel with tax'!#REF!</definedName>
    <definedName name="WACC2">[1]Option1!#REF!</definedName>
    <definedName name="WACC3" localSheetId="0">'12.5 MW diesel no tax'!#REF!</definedName>
    <definedName name="WACC3" localSheetId="1">'12.5 MW diesel with tax'!#REF!</definedName>
    <definedName name="WACC3">[1]Option1!#REF!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5" i="1" s="1"/>
  <c r="A15" i="1"/>
  <c r="A15" i="2"/>
  <c r="D15" i="2"/>
  <c r="C15" i="2"/>
  <c r="B15" i="2" s="1"/>
  <c r="D7" i="2" l="1"/>
  <c r="D7" i="1"/>
  <c r="H16" i="2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I15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F14" i="2"/>
  <c r="E14" i="2"/>
  <c r="D14" i="2"/>
  <c r="C14" i="2"/>
  <c r="B14" i="2"/>
  <c r="I12" i="2"/>
  <c r="B12" i="2"/>
  <c r="I6" i="2"/>
  <c r="J4" i="2"/>
  <c r="B16" i="1"/>
  <c r="J4" i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A16" i="1"/>
  <c r="A17" i="1" s="1"/>
  <c r="A18" i="1" s="1"/>
  <c r="A19" i="1" s="1"/>
  <c r="F14" i="1"/>
  <c r="E14" i="1"/>
  <c r="D14" i="1"/>
  <c r="C14" i="1"/>
  <c r="B14" i="1"/>
  <c r="B12" i="1"/>
  <c r="I6" i="1"/>
  <c r="I12" i="1"/>
  <c r="E15" i="2" l="1"/>
  <c r="E15" i="1"/>
  <c r="I15" i="1"/>
  <c r="A20" i="1"/>
  <c r="B16" i="2" l="1"/>
  <c r="E16" i="2" s="1"/>
  <c r="F15" i="2"/>
  <c r="F15" i="1"/>
  <c r="A21" i="1"/>
  <c r="D16" i="2" l="1"/>
  <c r="C16" i="2"/>
  <c r="B17" i="2" s="1"/>
  <c r="E16" i="1"/>
  <c r="C16" i="1"/>
  <c r="B17" i="1" s="1"/>
  <c r="A22" i="1"/>
  <c r="D16" i="1"/>
  <c r="F16" i="2" l="1"/>
  <c r="E17" i="2"/>
  <c r="D17" i="2"/>
  <c r="C17" i="2"/>
  <c r="I17" i="2" s="1"/>
  <c r="I16" i="2"/>
  <c r="A23" i="1"/>
  <c r="I16" i="1"/>
  <c r="F16" i="1"/>
  <c r="F17" i="2" l="1"/>
  <c r="B18" i="2"/>
  <c r="E17" i="1"/>
  <c r="C17" i="1"/>
  <c r="B18" i="1" s="1"/>
  <c r="D17" i="1"/>
  <c r="A24" i="1"/>
  <c r="E18" i="2" l="1"/>
  <c r="D18" i="2"/>
  <c r="C18" i="2"/>
  <c r="B19" i="2" s="1"/>
  <c r="I17" i="1"/>
  <c r="A25" i="1"/>
  <c r="F17" i="1"/>
  <c r="F18" i="2" l="1"/>
  <c r="D19" i="2"/>
  <c r="E19" i="2"/>
  <c r="C19" i="2"/>
  <c r="I19" i="2" s="1"/>
  <c r="I18" i="2"/>
  <c r="E18" i="1"/>
  <c r="C18" i="1"/>
  <c r="D18" i="1"/>
  <c r="A26" i="1"/>
  <c r="F19" i="2" l="1"/>
  <c r="B20" i="2"/>
  <c r="I18" i="1"/>
  <c r="B19" i="1"/>
  <c r="E19" i="1" s="1"/>
  <c r="F18" i="1"/>
  <c r="A27" i="1"/>
  <c r="E20" i="2" l="1"/>
  <c r="D20" i="2"/>
  <c r="C20" i="2"/>
  <c r="B21" i="2"/>
  <c r="D19" i="1"/>
  <c r="C19" i="1"/>
  <c r="A28" i="1"/>
  <c r="F20" i="2" l="1"/>
  <c r="E21" i="2"/>
  <c r="D21" i="2"/>
  <c r="C21" i="2"/>
  <c r="I21" i="2" s="1"/>
  <c r="I20" i="2"/>
  <c r="B20" i="1"/>
  <c r="E20" i="1" s="1"/>
  <c r="F19" i="1"/>
  <c r="I19" i="1"/>
  <c r="A29" i="1"/>
  <c r="F21" i="2" l="1"/>
  <c r="B22" i="2"/>
  <c r="C20" i="1"/>
  <c r="I20" i="1" s="1"/>
  <c r="D20" i="1"/>
  <c r="A30" i="1"/>
  <c r="D22" i="2" l="1"/>
  <c r="C22" i="2"/>
  <c r="B23" i="2" s="1"/>
  <c r="E22" i="2"/>
  <c r="F20" i="1"/>
  <c r="B21" i="1"/>
  <c r="E21" i="1" s="1"/>
  <c r="A31" i="1"/>
  <c r="F22" i="2" l="1"/>
  <c r="C21" i="1"/>
  <c r="I21" i="1" s="1"/>
  <c r="E23" i="2"/>
  <c r="D23" i="2"/>
  <c r="C23" i="2"/>
  <c r="I23" i="2" s="1"/>
  <c r="I22" i="2"/>
  <c r="D21" i="1"/>
  <c r="A32" i="1"/>
  <c r="F23" i="2" l="1"/>
  <c r="F21" i="1"/>
  <c r="B22" i="1"/>
  <c r="E22" i="1" s="1"/>
  <c r="B24" i="2"/>
  <c r="D24" i="2" s="1"/>
  <c r="C22" i="1"/>
  <c r="D22" i="1"/>
  <c r="A33" i="1"/>
  <c r="E24" i="2" l="1"/>
  <c r="C24" i="2"/>
  <c r="I24" i="2" s="1"/>
  <c r="I22" i="1"/>
  <c r="B23" i="1"/>
  <c r="E23" i="1" s="1"/>
  <c r="F22" i="1"/>
  <c r="A34" i="1"/>
  <c r="B25" i="2" l="1"/>
  <c r="F24" i="2"/>
  <c r="D25" i="2"/>
  <c r="C25" i="2"/>
  <c r="I25" i="2" s="1"/>
  <c r="E25" i="2"/>
  <c r="C23" i="1"/>
  <c r="I23" i="1" s="1"/>
  <c r="D23" i="1"/>
  <c r="A35" i="1"/>
  <c r="F25" i="2" l="1"/>
  <c r="B26" i="2"/>
  <c r="E26" i="2" s="1"/>
  <c r="D26" i="2"/>
  <c r="C26" i="2"/>
  <c r="I26" i="2" s="1"/>
  <c r="B24" i="1"/>
  <c r="C24" i="1" s="1"/>
  <c r="I24" i="1" s="1"/>
  <c r="F23" i="1"/>
  <c r="A36" i="1"/>
  <c r="F26" i="2" l="1"/>
  <c r="B27" i="2"/>
  <c r="E27" i="2" s="1"/>
  <c r="D27" i="2"/>
  <c r="C27" i="2"/>
  <c r="I27" i="2" s="1"/>
  <c r="B25" i="1"/>
  <c r="D24" i="1"/>
  <c r="E24" i="1"/>
  <c r="A37" i="1"/>
  <c r="F27" i="2" l="1"/>
  <c r="B28" i="2"/>
  <c r="F24" i="1"/>
  <c r="D25" i="1"/>
  <c r="C25" i="1"/>
  <c r="I25" i="1" s="1"/>
  <c r="E25" i="1"/>
  <c r="A38" i="1"/>
  <c r="D28" i="2" l="1"/>
  <c r="C28" i="2"/>
  <c r="I28" i="2" s="1"/>
  <c r="E28" i="2"/>
  <c r="B26" i="1"/>
  <c r="F25" i="1"/>
  <c r="A39" i="1"/>
  <c r="F28" i="2" l="1"/>
  <c r="B29" i="2"/>
  <c r="C26" i="1"/>
  <c r="B27" i="1" s="1"/>
  <c r="D26" i="1"/>
  <c r="E26" i="1"/>
  <c r="A40" i="1"/>
  <c r="E29" i="2" l="1"/>
  <c r="D29" i="2"/>
  <c r="C29" i="2"/>
  <c r="I29" i="2" s="1"/>
  <c r="I26" i="1"/>
  <c r="F26" i="1"/>
  <c r="A41" i="1"/>
  <c r="F29" i="2" l="1"/>
  <c r="B30" i="2"/>
  <c r="E27" i="1"/>
  <c r="D27" i="1"/>
  <c r="C27" i="1"/>
  <c r="A42" i="1"/>
  <c r="E30" i="2" l="1"/>
  <c r="D30" i="2"/>
  <c r="C30" i="2"/>
  <c r="I30" i="2" s="1"/>
  <c r="I27" i="1"/>
  <c r="B28" i="1"/>
  <c r="F27" i="1"/>
  <c r="A43" i="1"/>
  <c r="F30" i="2" l="1"/>
  <c r="B31" i="2"/>
  <c r="C28" i="1"/>
  <c r="B29" i="1" s="1"/>
  <c r="E28" i="1"/>
  <c r="D28" i="1"/>
  <c r="F28" i="1" s="1"/>
  <c r="I28" i="1"/>
  <c r="A44" i="1"/>
  <c r="D31" i="2" l="1"/>
  <c r="E31" i="2"/>
  <c r="C31" i="2"/>
  <c r="I31" i="2" s="1"/>
  <c r="C29" i="1"/>
  <c r="B30" i="1" s="1"/>
  <c r="D29" i="1"/>
  <c r="E29" i="1"/>
  <c r="A45" i="1"/>
  <c r="F31" i="2" l="1"/>
  <c r="B32" i="2"/>
  <c r="E32" i="2" s="1"/>
  <c r="C32" i="2"/>
  <c r="I32" i="2" s="1"/>
  <c r="I29" i="1"/>
  <c r="F29" i="1"/>
  <c r="A46" i="1"/>
  <c r="D32" i="2" l="1"/>
  <c r="F32" i="2"/>
  <c r="B33" i="2"/>
  <c r="C30" i="1"/>
  <c r="B31" i="1" s="1"/>
  <c r="D30" i="1"/>
  <c r="E30" i="1"/>
  <c r="A47" i="1"/>
  <c r="E33" i="2" l="1"/>
  <c r="D33" i="2"/>
  <c r="C33" i="2"/>
  <c r="I33" i="2" s="1"/>
  <c r="I30" i="1"/>
  <c r="F30" i="1"/>
  <c r="A48" i="1"/>
  <c r="F33" i="2" l="1"/>
  <c r="B34" i="2"/>
  <c r="C31" i="1"/>
  <c r="B32" i="1" s="1"/>
  <c r="D31" i="1"/>
  <c r="E31" i="1"/>
  <c r="A49" i="1"/>
  <c r="D34" i="2" l="1"/>
  <c r="C34" i="2"/>
  <c r="I34" i="2" s="1"/>
  <c r="E34" i="2"/>
  <c r="I31" i="1"/>
  <c r="F31" i="1"/>
  <c r="A50" i="1"/>
  <c r="F34" i="2" l="1"/>
  <c r="B35" i="2"/>
  <c r="C32" i="1"/>
  <c r="B33" i="1" s="1"/>
  <c r="D32" i="1"/>
  <c r="E32" i="1"/>
  <c r="A51" i="1"/>
  <c r="E35" i="2" l="1"/>
  <c r="D35" i="2"/>
  <c r="C35" i="2"/>
  <c r="I35" i="2" s="1"/>
  <c r="I32" i="1"/>
  <c r="F32" i="1"/>
  <c r="A52" i="1"/>
  <c r="F35" i="2" l="1"/>
  <c r="B36" i="2"/>
  <c r="C33" i="1"/>
  <c r="E33" i="1"/>
  <c r="D33" i="1"/>
  <c r="F33" i="1" s="1"/>
  <c r="A53" i="1"/>
  <c r="E36" i="2" l="1"/>
  <c r="D36" i="2"/>
  <c r="F36" i="2" s="1"/>
  <c r="C36" i="2"/>
  <c r="I36" i="2" s="1"/>
  <c r="I33" i="1"/>
  <c r="B34" i="1"/>
  <c r="A54" i="1"/>
  <c r="B37" i="2" l="1"/>
  <c r="E34" i="1"/>
  <c r="D34" i="1"/>
  <c r="C34" i="1"/>
  <c r="I34" i="1" s="1"/>
  <c r="D37" i="2" l="1"/>
  <c r="E37" i="2"/>
  <c r="C37" i="2"/>
  <c r="I37" i="2" s="1"/>
  <c r="F34" i="1"/>
  <c r="B35" i="1"/>
  <c r="F37" i="2" l="1"/>
  <c r="B38" i="2"/>
  <c r="E38" i="2" s="1"/>
  <c r="D38" i="2"/>
  <c r="C38" i="2"/>
  <c r="I38" i="2" s="1"/>
  <c r="D35" i="1"/>
  <c r="E35" i="1"/>
  <c r="C35" i="1"/>
  <c r="F38" i="2" l="1"/>
  <c r="B39" i="2"/>
  <c r="I35" i="1"/>
  <c r="F35" i="1"/>
  <c r="B36" i="1"/>
  <c r="E39" i="2" l="1"/>
  <c r="D39" i="2"/>
  <c r="C39" i="2"/>
  <c r="I39" i="2" s="1"/>
  <c r="D36" i="1"/>
  <c r="E36" i="1"/>
  <c r="C36" i="1"/>
  <c r="I36" i="1" s="1"/>
  <c r="F39" i="2" l="1"/>
  <c r="B40" i="2"/>
  <c r="F36" i="1"/>
  <c r="B37" i="1"/>
  <c r="D40" i="2" l="1"/>
  <c r="C40" i="2"/>
  <c r="I40" i="2" s="1"/>
  <c r="E40" i="2"/>
  <c r="E37" i="1"/>
  <c r="D37" i="1"/>
  <c r="C37" i="1"/>
  <c r="I37" i="1" s="1"/>
  <c r="F40" i="2" l="1"/>
  <c r="B41" i="2"/>
  <c r="F37" i="1"/>
  <c r="B38" i="1"/>
  <c r="E41" i="2" l="1"/>
  <c r="D41" i="2"/>
  <c r="C41" i="2"/>
  <c r="I41" i="2" s="1"/>
  <c r="E38" i="1"/>
  <c r="D38" i="1"/>
  <c r="C38" i="1"/>
  <c r="I38" i="1" s="1"/>
  <c r="F41" i="2" l="1"/>
  <c r="B42" i="2"/>
  <c r="F38" i="1"/>
  <c r="B39" i="1"/>
  <c r="E42" i="2" l="1"/>
  <c r="D42" i="2"/>
  <c r="C42" i="2"/>
  <c r="I42" i="2" s="1"/>
  <c r="E39" i="1"/>
  <c r="C39" i="1"/>
  <c r="I39" i="1" s="1"/>
  <c r="D39" i="1"/>
  <c r="F42" i="2" l="1"/>
  <c r="B43" i="2"/>
  <c r="F39" i="1"/>
  <c r="B40" i="1"/>
  <c r="D43" i="2" l="1"/>
  <c r="C43" i="2"/>
  <c r="I43" i="2" s="1"/>
  <c r="E43" i="2"/>
  <c r="C40" i="1"/>
  <c r="I40" i="1" s="1"/>
  <c r="E40" i="1"/>
  <c r="D40" i="1"/>
  <c r="F43" i="2" l="1"/>
  <c r="B44" i="2"/>
  <c r="F40" i="1"/>
  <c r="B41" i="1"/>
  <c r="E44" i="2" l="1"/>
  <c r="D44" i="2"/>
  <c r="F44" i="2" s="1"/>
  <c r="C44" i="2"/>
  <c r="I44" i="2" s="1"/>
  <c r="B45" i="2"/>
  <c r="D41" i="1"/>
  <c r="C41" i="1"/>
  <c r="I41" i="1" s="1"/>
  <c r="E41" i="1"/>
  <c r="E45" i="2" l="1"/>
  <c r="D45" i="2"/>
  <c r="C45" i="2"/>
  <c r="I45" i="2" s="1"/>
  <c r="F41" i="1"/>
  <c r="B42" i="1"/>
  <c r="F45" i="2" l="1"/>
  <c r="B46" i="2"/>
  <c r="E42" i="1"/>
  <c r="C42" i="1"/>
  <c r="I42" i="1" s="1"/>
  <c r="D42" i="1"/>
  <c r="F42" i="1" s="1"/>
  <c r="D46" i="2" l="1"/>
  <c r="C46" i="2"/>
  <c r="I46" i="2" s="1"/>
  <c r="E46" i="2"/>
  <c r="B43" i="1"/>
  <c r="F46" i="2" l="1"/>
  <c r="B47" i="2"/>
  <c r="C43" i="1"/>
  <c r="I43" i="1" s="1"/>
  <c r="E43" i="1"/>
  <c r="D43" i="1"/>
  <c r="F43" i="1" s="1"/>
  <c r="E47" i="2" l="1"/>
  <c r="D47" i="2"/>
  <c r="C47" i="2"/>
  <c r="I47" i="2" s="1"/>
  <c r="B44" i="1"/>
  <c r="F47" i="2" l="1"/>
  <c r="B48" i="2"/>
  <c r="E48" i="2"/>
  <c r="D48" i="2"/>
  <c r="C48" i="2"/>
  <c r="I48" i="2" s="1"/>
  <c r="E44" i="1"/>
  <c r="C44" i="1"/>
  <c r="I44" i="1" s="1"/>
  <c r="D44" i="1"/>
  <c r="F48" i="2" l="1"/>
  <c r="F44" i="1"/>
  <c r="B49" i="2"/>
  <c r="B45" i="1"/>
  <c r="D49" i="2" l="1"/>
  <c r="C49" i="2"/>
  <c r="I49" i="2" s="1"/>
  <c r="E49" i="2"/>
  <c r="C45" i="1"/>
  <c r="I45" i="1" s="1"/>
  <c r="D45" i="1"/>
  <c r="E45" i="1"/>
  <c r="F49" i="2" l="1"/>
  <c r="F45" i="1"/>
  <c r="B50" i="2"/>
  <c r="B46" i="1"/>
  <c r="E50" i="2" l="1"/>
  <c r="D50" i="2"/>
  <c r="C50" i="2"/>
  <c r="I50" i="2" s="1"/>
  <c r="C46" i="1"/>
  <c r="I46" i="1" s="1"/>
  <c r="E46" i="1"/>
  <c r="D46" i="1"/>
  <c r="F46" i="1" s="1"/>
  <c r="F50" i="2" l="1"/>
  <c r="B51" i="2"/>
  <c r="B47" i="1"/>
  <c r="E51" i="2" l="1"/>
  <c r="D51" i="2"/>
  <c r="C51" i="2"/>
  <c r="I51" i="2" s="1"/>
  <c r="D47" i="1"/>
  <c r="C47" i="1"/>
  <c r="I47" i="1" s="1"/>
  <c r="E47" i="1"/>
  <c r="F51" i="2" l="1"/>
  <c r="B52" i="2"/>
  <c r="F47" i="1"/>
  <c r="B48" i="1"/>
  <c r="D52" i="2" l="1"/>
  <c r="C52" i="2"/>
  <c r="I52" i="2" s="1"/>
  <c r="E52" i="2"/>
  <c r="E48" i="1"/>
  <c r="C48" i="1"/>
  <c r="D48" i="1"/>
  <c r="F52" i="2" l="1"/>
  <c r="B53" i="2"/>
  <c r="F48" i="1"/>
  <c r="I48" i="1"/>
  <c r="B49" i="1"/>
  <c r="E53" i="2" l="1"/>
  <c r="D53" i="2"/>
  <c r="C53" i="2"/>
  <c r="I53" i="2" s="1"/>
  <c r="C49" i="1"/>
  <c r="D49" i="1"/>
  <c r="E49" i="1"/>
  <c r="F53" i="2" l="1"/>
  <c r="B54" i="2"/>
  <c r="F49" i="1"/>
  <c r="I49" i="1"/>
  <c r="B50" i="1"/>
  <c r="E54" i="2" l="1"/>
  <c r="D54" i="2"/>
  <c r="C54" i="2"/>
  <c r="C50" i="1"/>
  <c r="E50" i="1"/>
  <c r="D50" i="1"/>
  <c r="D56" i="2" l="1"/>
  <c r="F54" i="2"/>
  <c r="E56" i="2"/>
  <c r="I54" i="2"/>
  <c r="C56" i="2"/>
  <c r="F56" i="2"/>
  <c r="J6" i="2" s="1"/>
  <c r="J8" i="2" s="1"/>
  <c r="J9" i="2" s="1"/>
  <c r="F50" i="1"/>
  <c r="I50" i="1"/>
  <c r="B51" i="1"/>
  <c r="D51" i="1" l="1"/>
  <c r="E51" i="1"/>
  <c r="C51" i="1"/>
  <c r="I51" i="1" l="1"/>
  <c r="F51" i="1"/>
  <c r="B52" i="1"/>
  <c r="C52" i="1" l="1"/>
  <c r="D52" i="1"/>
  <c r="E52" i="1"/>
  <c r="F52" i="1" l="1"/>
  <c r="I52" i="1"/>
  <c r="B53" i="1"/>
  <c r="E53" i="1" l="1"/>
  <c r="C53" i="1"/>
  <c r="I53" i="1" s="1"/>
  <c r="D53" i="1"/>
  <c r="F53" i="1" l="1"/>
  <c r="B54" i="1"/>
  <c r="C54" i="1" l="1"/>
  <c r="E54" i="1"/>
  <c r="E56" i="1" s="1"/>
  <c r="D54" i="1"/>
  <c r="D56" i="1" s="1"/>
  <c r="F54" i="1" l="1"/>
  <c r="F56" i="1"/>
  <c r="J6" i="1" s="1"/>
  <c r="J8" i="1" s="1"/>
  <c r="J9" i="1" s="1"/>
  <c r="I54" i="1"/>
  <c r="C56" i="1"/>
</calcChain>
</file>

<file path=xl/sharedStrings.xml><?xml version="1.0" encoding="utf-8"?>
<sst xmlns="http://schemas.openxmlformats.org/spreadsheetml/2006/main" count="47" uniqueCount="27">
  <si>
    <t>Weighted Average Cost of Capital</t>
  </si>
  <si>
    <t>Winter MW</t>
  </si>
  <si>
    <t>Inflation Rate</t>
  </si>
  <si>
    <t>Capital  ($000)</t>
  </si>
  <si>
    <t>Real Weighted Average Cost of Capital</t>
  </si>
  <si>
    <t xml:space="preserve">$000/yr </t>
  </si>
  <si>
    <t>Life</t>
  </si>
  <si>
    <t xml:space="preserve"> </t>
  </si>
  <si>
    <t>years</t>
  </si>
  <si>
    <t>Year</t>
  </si>
  <si>
    <t>Year from In-service</t>
  </si>
  <si>
    <t>Year-End Balance</t>
  </si>
  <si>
    <t>Depr</t>
  </si>
  <si>
    <t>Return</t>
  </si>
  <si>
    <t>O&amp;M</t>
  </si>
  <si>
    <t>Total</t>
  </si>
  <si>
    <t>12.5 MW Diesel Plant [with property tax]</t>
  </si>
  <si>
    <t>12.5 MW Diesel Plant [no property tax]</t>
  </si>
  <si>
    <t>Notes:</t>
  </si>
  <si>
    <t>Project LCOC ($/MW) at 2019$</t>
  </si>
  <si>
    <t>Project LCOC ($/MW) at 2024$</t>
  </si>
  <si>
    <t>NPV</t>
  </si>
  <si>
    <t>1. As indicated in Exhibit B-5, Amended EPA submission page 26, footnote 38 the levelized cost of capacity (LCOC) for new 12.5 diesel plant is based on BESS Hearing, Undertaking #7. The calculation in the original Midgard estimate assumed YEC weighted average cost of capital (WACC) at 4.92%.</t>
  </si>
  <si>
    <t>Fixed O&amp;M</t>
  </si>
  <si>
    <t>Fixed O&amp;M [incl. property tax]</t>
  </si>
  <si>
    <t>1. As indicated in Exhibit B-5, Amended EPA submission page 26, footnote 38 the levelized cost of capacity (LCOC) for new 12.5 diesel plant is based on BESS Hearing, Undertaking #7. For the undertaking the LCOC calculation was revised using YEC weighted average cost of capital (WACC) at 4.79% based on YEC 2021 GRA Application [based on forecast interest rate of 2.19% for new incremental long-term debt compared to 2.81% weighted average cost of debt].</t>
  </si>
  <si>
    <t xml:space="preserve">2. BESS Hearing, Undertaking #7 noted that the fixed O&amp;M with property tax would be at least $91,000/MW [$64,000/MW without property tax].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</si>
</sst>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[Blue]&quot;$&quot;#,##0;\(&quot;$&quot;#,##0\)"/>
    <numFmt numFmtId="166" formatCode="0.0"/>
    <numFmt numFmtId="167" formatCode="0.0%"/>
    <numFmt numFmtId="168" formatCode="_-* #,##0_-;\-* #,##0_-;_-* &quot;-&quot;??_-;_-@_-"/>
    <numFmt numFmtId="169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name val="Helv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8"/>
      <color rgb="FF3333FF"/>
      <name val="Calibri"/>
      <family val="2"/>
      <scheme val="minor"/>
    </font>
    <font>
      <sz val="11"/>
      <color theme="1"/>
      <name val="Calibri"/>
      <family val="2"/>
    </font>
    <font>
      <b/>
      <i/>
      <sz val="8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i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" fontId="4" fillId="0" borderId="0" xfId="2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4" fillId="0" borderId="0" xfId="2" applyFont="1" applyAlignment="1">
      <alignment horizontal="right" vertical="center"/>
    </xf>
    <xf numFmtId="10" fontId="7" fillId="0" borderId="0" xfId="3" applyNumberFormat="1" applyFont="1" applyFill="1" applyAlignment="1" applyProtection="1">
      <alignment horizontal="center" vertical="center"/>
    </xf>
    <xf numFmtId="9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9" fontId="7" fillId="2" borderId="1" xfId="3" applyFont="1" applyFill="1" applyBorder="1" applyAlignment="1">
      <alignment horizontal="center" vertical="center"/>
    </xf>
    <xf numFmtId="165" fontId="4" fillId="0" borderId="2" xfId="2" applyNumberFormat="1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1" fontId="5" fillId="2" borderId="3" xfId="3" applyNumberFormat="1" applyFont="1" applyFill="1" applyBorder="1" applyAlignment="1">
      <alignment horizontal="center" vertical="center"/>
    </xf>
    <xf numFmtId="43" fontId="4" fillId="0" borderId="2" xfId="1" applyFont="1" applyFill="1" applyBorder="1" applyAlignment="1" applyProtection="1">
      <alignment horizontal="right" vertical="center"/>
    </xf>
    <xf numFmtId="166" fontId="5" fillId="0" borderId="0" xfId="2" applyNumberFormat="1" applyFont="1" applyAlignment="1">
      <alignment vertical="center"/>
    </xf>
    <xf numFmtId="0" fontId="5" fillId="0" borderId="0" xfId="2" applyFont="1" applyAlignment="1">
      <alignment horizontal="center" vertical="center"/>
    </xf>
    <xf numFmtId="1" fontId="5" fillId="0" borderId="0" xfId="2" applyNumberFormat="1" applyFont="1" applyAlignment="1">
      <alignment vertical="center"/>
    </xf>
    <xf numFmtId="9" fontId="5" fillId="0" borderId="0" xfId="2" applyNumberFormat="1" applyFont="1" applyAlignment="1">
      <alignment vertical="center"/>
    </xf>
    <xf numFmtId="0" fontId="9" fillId="0" borderId="0" xfId="2" applyFont="1" applyAlignment="1">
      <alignment horizontal="right" vertical="center"/>
    </xf>
    <xf numFmtId="3" fontId="10" fillId="3" borderId="1" xfId="4" applyNumberFormat="1" applyFont="1" applyFill="1" applyAlignment="1">
      <alignment horizontal="center" vertical="center"/>
    </xf>
    <xf numFmtId="4" fontId="5" fillId="0" borderId="0" xfId="2" applyNumberFormat="1" applyFont="1" applyAlignment="1">
      <alignment vertical="center"/>
    </xf>
    <xf numFmtId="168" fontId="4" fillId="0" borderId="0" xfId="1" applyNumberFormat="1" applyFont="1" applyFill="1" applyAlignment="1" applyProtection="1">
      <alignment horizontal="right" vertical="center"/>
    </xf>
    <xf numFmtId="169" fontId="10" fillId="3" borderId="1" xfId="4" applyNumberFormat="1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3" fontId="4" fillId="0" borderId="6" xfId="2" applyNumberFormat="1" applyFont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1" fontId="6" fillId="0" borderId="0" xfId="2" applyNumberFormat="1" applyFont="1" applyAlignment="1">
      <alignment vertical="center"/>
    </xf>
    <xf numFmtId="1" fontId="5" fillId="0" borderId="4" xfId="2" applyNumberFormat="1" applyFont="1" applyBorder="1" applyAlignment="1">
      <alignment horizontal="center" vertical="center"/>
    </xf>
    <xf numFmtId="3" fontId="5" fillId="0" borderId="4" xfId="2" applyNumberFormat="1" applyFont="1" applyBorder="1" applyAlignment="1">
      <alignment vertical="center"/>
    </xf>
    <xf numFmtId="1" fontId="5" fillId="0" borderId="2" xfId="2" applyNumberFormat="1" applyFont="1" applyBorder="1" applyAlignment="1">
      <alignment horizontal="center" vertical="center"/>
    </xf>
    <xf numFmtId="2" fontId="5" fillId="0" borderId="2" xfId="2" applyNumberFormat="1" applyFont="1" applyBorder="1" applyAlignment="1">
      <alignment horizontal="center" vertical="center"/>
    </xf>
    <xf numFmtId="3" fontId="5" fillId="0" borderId="2" xfId="2" applyNumberFormat="1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168" fontId="5" fillId="0" borderId="4" xfId="7" applyNumberFormat="1" applyFont="1" applyFill="1" applyBorder="1" applyAlignment="1">
      <alignment vertical="center"/>
    </xf>
    <xf numFmtId="3" fontId="11" fillId="0" borderId="0" xfId="2" applyNumberFormat="1" applyFont="1" applyAlignment="1">
      <alignment horizontal="right" vertical="center"/>
    </xf>
    <xf numFmtId="3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1" fontId="5" fillId="0" borderId="0" xfId="2" applyNumberFormat="1" applyFont="1" applyAlignment="1">
      <alignment horizontal="center" vertical="center"/>
    </xf>
    <xf numFmtId="2" fontId="5" fillId="0" borderId="0" xfId="2" applyNumberFormat="1" applyFont="1" applyAlignment="1">
      <alignment vertical="center"/>
    </xf>
    <xf numFmtId="167" fontId="5" fillId="0" borderId="0" xfId="2" applyNumberFormat="1" applyFont="1" applyAlignment="1">
      <alignment vertical="center"/>
    </xf>
    <xf numFmtId="1" fontId="5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1" fontId="5" fillId="0" borderId="0" xfId="2" applyNumberFormat="1" applyFont="1" applyAlignment="1">
      <alignment horizontal="left" vertical="center" wrapText="1"/>
    </xf>
  </cellXfs>
  <cellStyles count="8">
    <cellStyle name="Calculation 2" xfId="4" xr:uid="{65DEBAAB-FFAF-47CF-A9AE-5B61BCA4BC96}"/>
    <cellStyle name="Comma" xfId="1" builtinId="3"/>
    <cellStyle name="Comma 2" xfId="7" xr:uid="{87AC860E-27F5-4960-BC8B-063A6DD3C567}"/>
    <cellStyle name="Currency 2" xfId="5" xr:uid="{43F1D069-1583-47A9-849A-1143372D26C0}"/>
    <cellStyle name="Normal" xfId="0" builtinId="0"/>
    <cellStyle name="Normal 2" xfId="6" xr:uid="{EA7D6B54-D4D8-4C05-BA9E-BA4AE7184DF4}"/>
    <cellStyle name="Normal_Infrastructure plan economic Spreadsheet draft 2" xfId="2" xr:uid="{D1A4AAA9-FA97-432E-948F-7CEB917BC510}"/>
    <cellStyle name="Percent 2" xfId="3" xr:uid="{E9F9DA8F-3ACD-4ADC-84B0-91FF829ED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s\YEC%20-%20Financial%20Analysis%20LCOE%20Dec%2001%202019%20summ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yec.yk.ca/Users/mlavigne/Documents/Load%20Forecast/Itron%20Result%20Documents/TAB-2016-06-14-Load%20Forecasting%20Results-C15062%20v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yec.yk.ca/Users/mlavigne/Documents/LNG/TAB-2014-07-14-LNG%20Volume%20Table-C137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tion Resources"/>
      <sheetName val="Option1"/>
      <sheetName val="Option2"/>
      <sheetName val="Option3"/>
      <sheetName val="Option4"/>
      <sheetName val="Option5"/>
      <sheetName val="Option6"/>
      <sheetName val="Option7"/>
      <sheetName val="Option8"/>
      <sheetName val="Option9"/>
      <sheetName val="Option10"/>
      <sheetName val="Option11"/>
      <sheetName val="Option12"/>
      <sheetName val="Option13"/>
      <sheetName val="Option14"/>
      <sheetName val="Option15"/>
      <sheetName val="Option16"/>
      <sheetName val="Option17"/>
      <sheetName val="Option18"/>
      <sheetName val="Option19"/>
      <sheetName val="Option20"/>
      <sheetName val="Option21"/>
      <sheetName val="Option22"/>
      <sheetName val="Option23"/>
      <sheetName val="Option24"/>
      <sheetName val="Option25"/>
      <sheetName val="Option26"/>
      <sheetName val="Option27"/>
      <sheetName val="Option28"/>
      <sheetName val="Option29"/>
      <sheetName val="Option30"/>
      <sheetName val="Option31"/>
      <sheetName val="Option32"/>
      <sheetName val="Option33"/>
      <sheetName val="Option34"/>
    </sheetNames>
    <sheetDataSet>
      <sheetData sheetId="0"/>
      <sheetData sheetId="1">
        <row r="2">
          <cell r="L2">
            <v>4.9000000000000002E-2</v>
          </cell>
        </row>
        <row r="4">
          <cell r="L4">
            <v>2.8431372549019507E-2</v>
          </cell>
        </row>
        <row r="5">
          <cell r="C5">
            <v>2019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8"/>
      <sheetName val="Fig.11"/>
      <sheetName val="Fig.12"/>
      <sheetName val="Fig.13"/>
      <sheetName val="Fig.14"/>
      <sheetName val="Fig.15"/>
      <sheetName val="Fig.16"/>
      <sheetName val="Fig.17"/>
      <sheetName val="Fig.18"/>
      <sheetName val="Fig.19"/>
      <sheetName val="Figure B-1"/>
      <sheetName val="Figure B-2"/>
      <sheetName val="Figure B-3"/>
      <sheetName val="Figure B-4"/>
      <sheetName val="Figure B-5"/>
      <sheetName val="Figure B-6"/>
      <sheetName val="Figure B-7"/>
      <sheetName val="Figure B-8"/>
      <sheetName val="Table A-1"/>
      <sheetName val="Table A-2"/>
      <sheetName val="Table A-3"/>
      <sheetName val="Table A-4"/>
      <sheetName val="Table A-5"/>
      <sheetName val="Table A-6"/>
      <sheetName val="Table A-7"/>
      <sheetName val="Table A-8"/>
      <sheetName val="Table A-9"/>
      <sheetName val="Table A-10"/>
      <sheetName val="Table A-11"/>
      <sheetName val="Table A-12"/>
      <sheetName val="Table A-13"/>
      <sheetName val="Table A-14"/>
      <sheetName val="Table A-15"/>
      <sheetName val="Table A-16"/>
      <sheetName val="Data"/>
      <sheetName val="Non-Ind. Data by Class"/>
      <sheetName val="Figure-Table List"/>
      <sheetName val="Assumptions"/>
      <sheetName val="Revision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CG4">
            <v>82.229373924875901</v>
          </cell>
        </row>
      </sheetData>
      <sheetData sheetId="35">
        <row r="6">
          <cell r="AJ6">
            <v>175.80909659234993</v>
          </cell>
        </row>
      </sheetData>
      <sheetData sheetId="36"/>
      <sheetData sheetId="37">
        <row r="6">
          <cell r="A6">
            <v>8.7999999999999995E-2</v>
          </cell>
        </row>
      </sheetData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Init"/>
      <sheetName val="Sensitivity LTM"/>
      <sheetName val="Summary Table"/>
    </sheetNames>
    <sheetDataSet>
      <sheetData sheetId="0" refreshError="1"/>
      <sheetData sheetId="1">
        <row r="3">
          <cell r="C3" t="str">
            <v>Forecasted Hydro</v>
          </cell>
        </row>
      </sheetData>
      <sheetData sheetId="2">
        <row r="46">
          <cell r="A46">
            <v>0.4</v>
          </cell>
        </row>
        <row r="50">
          <cell r="A50">
            <v>264.2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C5AC-C6FE-406C-A075-887319021C10}">
  <sheetPr>
    <pageSetUpPr fitToPage="1"/>
  </sheetPr>
  <dimension ref="A1:U77"/>
  <sheetViews>
    <sheetView tabSelected="1" view="pageBreakPreview" zoomScale="130" zoomScaleNormal="115" zoomScaleSheetLayoutView="130" workbookViewId="0">
      <selection activeCell="J2" sqref="J2"/>
    </sheetView>
  </sheetViews>
  <sheetFormatPr defaultColWidth="6" defaultRowHeight="10.5" x14ac:dyDescent="0.35"/>
  <cols>
    <col min="1" max="1" width="7" style="2" customWidth="1"/>
    <col min="2" max="5" width="8" style="2" customWidth="1"/>
    <col min="6" max="6" width="8" style="4" customWidth="1"/>
    <col min="7" max="7" width="7.08984375" style="2" customWidth="1"/>
    <col min="8" max="8" width="9.54296875" style="2" customWidth="1"/>
    <col min="9" max="9" width="10.81640625" style="2" customWidth="1"/>
    <col min="10" max="10" width="9.453125" style="2" customWidth="1"/>
    <col min="11" max="11" width="4.1796875" style="2" customWidth="1"/>
    <col min="12" max="12" width="6" style="5"/>
    <col min="13" max="13" width="9.1796875" style="5" bestFit="1" customWidth="1"/>
    <col min="14" max="14" width="6" style="5"/>
    <col min="15" max="15" width="7.54296875" style="5" bestFit="1" customWidth="1"/>
    <col min="16" max="17" width="6" style="5"/>
    <col min="18" max="18" width="10.36328125" style="5" bestFit="1" customWidth="1"/>
    <col min="19" max="16384" width="6" style="5"/>
  </cols>
  <sheetData>
    <row r="1" spans="1:11" x14ac:dyDescent="0.35">
      <c r="A1" s="1" t="s">
        <v>17</v>
      </c>
      <c r="E1" s="3"/>
    </row>
    <row r="2" spans="1:11" x14ac:dyDescent="0.35">
      <c r="G2" s="6"/>
      <c r="I2" s="7" t="s">
        <v>0</v>
      </c>
      <c r="J2" s="8">
        <v>4.9200000000000001E-2</v>
      </c>
      <c r="K2" s="9"/>
    </row>
    <row r="3" spans="1:11" ht="12.75" customHeight="1" x14ac:dyDescent="0.35">
      <c r="A3" s="10"/>
      <c r="C3" s="11"/>
      <c r="F3" s="4" t="s">
        <v>1</v>
      </c>
      <c r="G3" s="6"/>
      <c r="I3" s="7" t="s">
        <v>2</v>
      </c>
      <c r="J3" s="12">
        <v>0.02</v>
      </c>
    </row>
    <row r="4" spans="1:11" x14ac:dyDescent="0.35">
      <c r="A4" s="14" t="s">
        <v>3</v>
      </c>
      <c r="C4" s="15">
        <v>2019</v>
      </c>
      <c r="D4" s="13">
        <v>32500</v>
      </c>
      <c r="F4" s="16">
        <v>12.5</v>
      </c>
      <c r="I4" s="7" t="s">
        <v>4</v>
      </c>
      <c r="J4" s="8">
        <f>(1+J2)/(1+J3)-1</f>
        <v>2.86274509803921E-2</v>
      </c>
      <c r="K4" s="5"/>
    </row>
    <row r="5" spans="1:11" x14ac:dyDescent="0.35">
      <c r="F5" s="2"/>
      <c r="G5" s="17"/>
      <c r="K5" s="5"/>
    </row>
    <row r="6" spans="1:11" x14ac:dyDescent="0.35">
      <c r="F6" s="2"/>
      <c r="G6" s="17"/>
      <c r="H6" s="17"/>
      <c r="I6" s="21" t="str">
        <f>CONCATENATE("Life Cycle Cost (",C5,"$000's)")</f>
        <v>Life Cycle Cost ($000's)</v>
      </c>
      <c r="J6" s="22">
        <f>$F$56</f>
        <v>53337.523038458246</v>
      </c>
      <c r="K6" s="5"/>
    </row>
    <row r="7" spans="1:11" ht="11.25" customHeight="1" x14ac:dyDescent="0.35">
      <c r="A7" s="14" t="s">
        <v>23</v>
      </c>
      <c r="C7" s="15">
        <v>2019</v>
      </c>
      <c r="D7" s="13">
        <f>12.5*64.5</f>
        <v>806.25</v>
      </c>
      <c r="E7" s="10" t="s">
        <v>5</v>
      </c>
      <c r="F7" s="2"/>
      <c r="G7" s="17"/>
      <c r="H7" s="18"/>
      <c r="I7" s="5"/>
      <c r="K7" s="5"/>
    </row>
    <row r="8" spans="1:11" x14ac:dyDescent="0.35">
      <c r="F8" s="2"/>
      <c r="G8" s="19"/>
      <c r="H8" s="5"/>
      <c r="I8" s="21" t="s">
        <v>19</v>
      </c>
      <c r="J8" s="25">
        <f>(J6)/(NPV(REAL_D_RATE,I16:I54)+I15)*1000</f>
        <v>175503.02954089481</v>
      </c>
    </row>
    <row r="9" spans="1:11" x14ac:dyDescent="0.35">
      <c r="A9" s="14" t="s">
        <v>6</v>
      </c>
      <c r="B9" s="2" t="s">
        <v>7</v>
      </c>
      <c r="D9" s="24">
        <v>40</v>
      </c>
      <c r="E9" s="2" t="s">
        <v>8</v>
      </c>
      <c r="F9" s="2"/>
      <c r="G9" s="20"/>
      <c r="H9" s="5"/>
      <c r="I9" s="21" t="s">
        <v>20</v>
      </c>
      <c r="J9" s="25">
        <f>J8*(1+INFL)^(2024-C4)</f>
        <v>193769.52581954448</v>
      </c>
    </row>
    <row r="10" spans="1:11" x14ac:dyDescent="0.35">
      <c r="A10" s="14"/>
      <c r="B10" s="14"/>
      <c r="C10" s="14"/>
      <c r="D10" s="14"/>
      <c r="E10" s="14"/>
      <c r="F10" s="2"/>
      <c r="G10" s="23"/>
      <c r="H10" s="5"/>
    </row>
    <row r="11" spans="1:11" ht="12.75" customHeight="1" x14ac:dyDescent="0.35"/>
    <row r="12" spans="1:11" ht="21.75" customHeight="1" x14ac:dyDescent="0.35">
      <c r="A12" s="47" t="s">
        <v>9</v>
      </c>
      <c r="B12" s="50" t="str">
        <f>$A$1</f>
        <v>12.5 MW Diesel Plant [no property tax]</v>
      </c>
      <c r="C12" s="50"/>
      <c r="D12" s="50"/>
      <c r="E12" s="50"/>
      <c r="F12" s="50"/>
      <c r="G12" s="11"/>
      <c r="H12" s="51" t="s">
        <v>10</v>
      </c>
      <c r="I12" s="51" t="str">
        <f>CONCATENATE("Annual Winter Capacity MW, ",F4)</f>
        <v>Annual Winter Capacity MW, 12.5</v>
      </c>
      <c r="J12" s="5"/>
      <c r="K12" s="26"/>
    </row>
    <row r="13" spans="1:11" ht="21.75" customHeight="1" x14ac:dyDescent="0.35">
      <c r="A13" s="48"/>
      <c r="B13" s="27" t="s">
        <v>11</v>
      </c>
      <c r="C13" s="28" t="s">
        <v>12</v>
      </c>
      <c r="D13" s="28" t="s">
        <v>13</v>
      </c>
      <c r="E13" s="28" t="s">
        <v>14</v>
      </c>
      <c r="F13" s="29" t="s">
        <v>15</v>
      </c>
      <c r="G13" s="11"/>
      <c r="H13" s="51"/>
      <c r="I13" s="51"/>
      <c r="J13" s="5"/>
      <c r="K13" s="26"/>
    </row>
    <row r="14" spans="1:11" ht="16.5" customHeight="1" x14ac:dyDescent="0.35">
      <c r="A14" s="49"/>
      <c r="B14" s="30" t="str">
        <f t="shared" ref="B14:F14" si="0">"$000"</f>
        <v>$000</v>
      </c>
      <c r="C14" s="30" t="str">
        <f t="shared" si="0"/>
        <v>$000</v>
      </c>
      <c r="D14" s="30" t="str">
        <f t="shared" si="0"/>
        <v>$000</v>
      </c>
      <c r="E14" s="30" t="str">
        <f t="shared" si="0"/>
        <v>$000</v>
      </c>
      <c r="F14" s="30" t="str">
        <f t="shared" si="0"/>
        <v>$000</v>
      </c>
      <c r="G14" s="4"/>
      <c r="H14" s="51"/>
      <c r="I14" s="51"/>
      <c r="J14" s="5"/>
      <c r="K14" s="31"/>
    </row>
    <row r="15" spans="1:11" x14ac:dyDescent="0.35">
      <c r="A15" s="32">
        <f>C4</f>
        <v>2019</v>
      </c>
      <c r="B15" s="33">
        <f>$D$4-$C$15</f>
        <v>31687.5</v>
      </c>
      <c r="C15" s="33">
        <f>(($D$4)/$D$9)</f>
        <v>812.5</v>
      </c>
      <c r="D15" s="33">
        <f>(B15+$D$4)/2*WACC</f>
        <v>1579.0125</v>
      </c>
      <c r="E15" s="33">
        <f>(((D$7)*(1+INFL)^($A15-$C$7)))</f>
        <v>806.25</v>
      </c>
      <c r="F15" s="33">
        <f>SUM(C15:E15)</f>
        <v>3197.7624999999998</v>
      </c>
      <c r="G15" s="4"/>
      <c r="H15" s="34">
        <v>1</v>
      </c>
      <c r="I15" s="35">
        <f>$F$4</f>
        <v>12.5</v>
      </c>
      <c r="J15" s="5"/>
      <c r="K15" s="31"/>
    </row>
    <row r="16" spans="1:11" x14ac:dyDescent="0.35">
      <c r="A16" s="34">
        <f t="shared" ref="A16:A54" si="1">1+A15</f>
        <v>2020</v>
      </c>
      <c r="B16" s="36">
        <f>B15-C15</f>
        <v>30875</v>
      </c>
      <c r="C16" s="36">
        <f t="shared" ref="C16:C54" si="2">IF(ISNUMBER(B16),IF(B16&gt;B15,(B16/$D$9),C15),"")</f>
        <v>812.5</v>
      </c>
      <c r="D16" s="36">
        <f>IF(ISNUMBER(B16),(B16+B15)/2*WACC,"")</f>
        <v>1539.0374999999999</v>
      </c>
      <c r="E16" s="36">
        <f t="shared" ref="E16:E54" si="3">IF(ISNUMBER(B16),E15*(1+J$3),"")</f>
        <v>822.375</v>
      </c>
      <c r="F16" s="33">
        <f t="shared" ref="F16:F54" si="4">IF(ISNUMBER(B16),SUM(C16:E16),"")</f>
        <v>3173.9124999999999</v>
      </c>
      <c r="G16" s="4"/>
      <c r="H16" s="34">
        <f t="shared" ref="H16:H54" si="5">H15+1</f>
        <v>2</v>
      </c>
      <c r="I16" s="35">
        <f t="shared" ref="I16:I54" si="6">IF(ISNUMBER(C16),$F$4,"")</f>
        <v>12.5</v>
      </c>
      <c r="J16" s="5"/>
      <c r="K16" s="31"/>
    </row>
    <row r="17" spans="1:11" x14ac:dyDescent="0.35">
      <c r="A17" s="34">
        <f t="shared" si="1"/>
        <v>2021</v>
      </c>
      <c r="B17" s="36">
        <f>B16-C16</f>
        <v>30062.5</v>
      </c>
      <c r="C17" s="36">
        <f t="shared" si="2"/>
        <v>812.5</v>
      </c>
      <c r="D17" s="36">
        <f t="shared" ref="D17:D40" si="7">IF(ISNUMBER(B17),(B17+B16)/2*WACC,"")</f>
        <v>1499.0625</v>
      </c>
      <c r="E17" s="36">
        <f t="shared" si="3"/>
        <v>838.82249999999999</v>
      </c>
      <c r="F17" s="33">
        <f t="shared" si="4"/>
        <v>3150.3850000000002</v>
      </c>
      <c r="G17" s="4"/>
      <c r="H17" s="34">
        <f t="shared" si="5"/>
        <v>3</v>
      </c>
      <c r="I17" s="35">
        <f t="shared" si="6"/>
        <v>12.5</v>
      </c>
      <c r="J17" s="5"/>
      <c r="K17" s="31"/>
    </row>
    <row r="18" spans="1:11" x14ac:dyDescent="0.35">
      <c r="A18" s="34">
        <f t="shared" si="1"/>
        <v>2022</v>
      </c>
      <c r="B18" s="36">
        <f t="shared" ref="B18:B54" si="8">B17-C17</f>
        <v>29250</v>
      </c>
      <c r="C18" s="36">
        <f t="shared" si="2"/>
        <v>812.5</v>
      </c>
      <c r="D18" s="36">
        <f t="shared" si="7"/>
        <v>1459.0875000000001</v>
      </c>
      <c r="E18" s="36">
        <f t="shared" si="3"/>
        <v>855.59895000000006</v>
      </c>
      <c r="F18" s="33">
        <f t="shared" si="4"/>
        <v>3127.1864500000001</v>
      </c>
      <c r="G18" s="4"/>
      <c r="H18" s="34">
        <f t="shared" si="5"/>
        <v>4</v>
      </c>
      <c r="I18" s="35">
        <f t="shared" si="6"/>
        <v>12.5</v>
      </c>
      <c r="J18" s="5"/>
      <c r="K18" s="31"/>
    </row>
    <row r="19" spans="1:11" x14ac:dyDescent="0.35">
      <c r="A19" s="34">
        <f t="shared" si="1"/>
        <v>2023</v>
      </c>
      <c r="B19" s="36">
        <f t="shared" si="8"/>
        <v>28437.5</v>
      </c>
      <c r="C19" s="36">
        <f t="shared" si="2"/>
        <v>812.5</v>
      </c>
      <c r="D19" s="36">
        <f t="shared" si="7"/>
        <v>1419.1125</v>
      </c>
      <c r="E19" s="36">
        <f t="shared" si="3"/>
        <v>872.71092900000008</v>
      </c>
      <c r="F19" s="33">
        <f t="shared" si="4"/>
        <v>3104.323429</v>
      </c>
      <c r="G19" s="4"/>
      <c r="H19" s="34">
        <f t="shared" si="5"/>
        <v>5</v>
      </c>
      <c r="I19" s="35">
        <f t="shared" si="6"/>
        <v>12.5</v>
      </c>
      <c r="J19" s="5"/>
      <c r="K19" s="31"/>
    </row>
    <row r="20" spans="1:11" x14ac:dyDescent="0.35">
      <c r="A20" s="34">
        <f t="shared" si="1"/>
        <v>2024</v>
      </c>
      <c r="B20" s="36">
        <f t="shared" si="8"/>
        <v>27625</v>
      </c>
      <c r="C20" s="36">
        <f t="shared" si="2"/>
        <v>812.5</v>
      </c>
      <c r="D20" s="36">
        <f t="shared" si="7"/>
        <v>1379.1375</v>
      </c>
      <c r="E20" s="36">
        <f t="shared" si="3"/>
        <v>890.16514758000005</v>
      </c>
      <c r="F20" s="33">
        <f t="shared" si="4"/>
        <v>3081.8026475799998</v>
      </c>
      <c r="G20" s="4"/>
      <c r="H20" s="34">
        <f t="shared" si="5"/>
        <v>6</v>
      </c>
      <c r="I20" s="35">
        <f t="shared" si="6"/>
        <v>12.5</v>
      </c>
      <c r="J20" s="5"/>
      <c r="K20" s="31"/>
    </row>
    <row r="21" spans="1:11" x14ac:dyDescent="0.35">
      <c r="A21" s="34">
        <f t="shared" si="1"/>
        <v>2025</v>
      </c>
      <c r="B21" s="36">
        <f t="shared" si="8"/>
        <v>26812.5</v>
      </c>
      <c r="C21" s="36">
        <f t="shared" si="2"/>
        <v>812.5</v>
      </c>
      <c r="D21" s="36">
        <f t="shared" si="7"/>
        <v>1339.1624999999999</v>
      </c>
      <c r="E21" s="36">
        <f t="shared" si="3"/>
        <v>907.96845053160007</v>
      </c>
      <c r="F21" s="33">
        <f t="shared" si="4"/>
        <v>3059.6309505315999</v>
      </c>
      <c r="G21" s="4"/>
      <c r="H21" s="34">
        <f t="shared" si="5"/>
        <v>7</v>
      </c>
      <c r="I21" s="35">
        <f t="shared" si="6"/>
        <v>12.5</v>
      </c>
      <c r="J21" s="5"/>
      <c r="K21" s="31"/>
    </row>
    <row r="22" spans="1:11" x14ac:dyDescent="0.35">
      <c r="A22" s="34">
        <f t="shared" si="1"/>
        <v>2026</v>
      </c>
      <c r="B22" s="36">
        <f t="shared" si="8"/>
        <v>26000</v>
      </c>
      <c r="C22" s="36">
        <f t="shared" si="2"/>
        <v>812.5</v>
      </c>
      <c r="D22" s="36">
        <f t="shared" si="7"/>
        <v>1299.1875</v>
      </c>
      <c r="E22" s="36">
        <f t="shared" si="3"/>
        <v>926.12781954223203</v>
      </c>
      <c r="F22" s="33">
        <f t="shared" si="4"/>
        <v>3037.8153195422319</v>
      </c>
      <c r="G22" s="4"/>
      <c r="H22" s="34">
        <f t="shared" si="5"/>
        <v>8</v>
      </c>
      <c r="I22" s="35">
        <f t="shared" si="6"/>
        <v>12.5</v>
      </c>
      <c r="J22" s="5"/>
      <c r="K22" s="31"/>
    </row>
    <row r="23" spans="1:11" x14ac:dyDescent="0.35">
      <c r="A23" s="34">
        <f t="shared" si="1"/>
        <v>2027</v>
      </c>
      <c r="B23" s="36">
        <f t="shared" si="8"/>
        <v>25187.5</v>
      </c>
      <c r="C23" s="36">
        <f t="shared" si="2"/>
        <v>812.5</v>
      </c>
      <c r="D23" s="36">
        <f t="shared" si="7"/>
        <v>1259.2125000000001</v>
      </c>
      <c r="E23" s="36">
        <f t="shared" si="3"/>
        <v>944.6503759330767</v>
      </c>
      <c r="F23" s="33">
        <f t="shared" si="4"/>
        <v>3016.3628759330768</v>
      </c>
      <c r="G23" s="4"/>
      <c r="H23" s="34">
        <f t="shared" si="5"/>
        <v>9</v>
      </c>
      <c r="I23" s="35">
        <f t="shared" si="6"/>
        <v>12.5</v>
      </c>
      <c r="J23" s="5"/>
      <c r="K23" s="31"/>
    </row>
    <row r="24" spans="1:11" x14ac:dyDescent="0.35">
      <c r="A24" s="34">
        <f t="shared" si="1"/>
        <v>2028</v>
      </c>
      <c r="B24" s="36">
        <f t="shared" si="8"/>
        <v>24375</v>
      </c>
      <c r="C24" s="36">
        <f t="shared" si="2"/>
        <v>812.5</v>
      </c>
      <c r="D24" s="36">
        <f t="shared" si="7"/>
        <v>1219.2375</v>
      </c>
      <c r="E24" s="36">
        <f t="shared" si="3"/>
        <v>963.54338345173824</v>
      </c>
      <c r="F24" s="33">
        <f t="shared" si="4"/>
        <v>2995.2808834517382</v>
      </c>
      <c r="G24" s="4"/>
      <c r="H24" s="34">
        <f t="shared" si="5"/>
        <v>10</v>
      </c>
      <c r="I24" s="35">
        <f t="shared" si="6"/>
        <v>12.5</v>
      </c>
      <c r="J24" s="5"/>
      <c r="K24" s="5"/>
    </row>
    <row r="25" spans="1:11" x14ac:dyDescent="0.35">
      <c r="A25" s="34">
        <f t="shared" si="1"/>
        <v>2029</v>
      </c>
      <c r="B25" s="36">
        <f t="shared" si="8"/>
        <v>23562.5</v>
      </c>
      <c r="C25" s="36">
        <f t="shared" si="2"/>
        <v>812.5</v>
      </c>
      <c r="D25" s="36">
        <f t="shared" si="7"/>
        <v>1179.2625</v>
      </c>
      <c r="E25" s="36">
        <f t="shared" si="3"/>
        <v>982.81425112077306</v>
      </c>
      <c r="F25" s="33">
        <f t="shared" si="4"/>
        <v>2974.5767511207732</v>
      </c>
      <c r="G25" s="4"/>
      <c r="H25" s="34">
        <f t="shared" si="5"/>
        <v>11</v>
      </c>
      <c r="I25" s="35">
        <f t="shared" si="6"/>
        <v>12.5</v>
      </c>
      <c r="J25" s="5"/>
      <c r="K25" s="5"/>
    </row>
    <row r="26" spans="1:11" x14ac:dyDescent="0.35">
      <c r="A26" s="34">
        <f t="shared" si="1"/>
        <v>2030</v>
      </c>
      <c r="B26" s="36">
        <f t="shared" si="8"/>
        <v>22750</v>
      </c>
      <c r="C26" s="36">
        <f t="shared" si="2"/>
        <v>812.5</v>
      </c>
      <c r="D26" s="36">
        <f t="shared" si="7"/>
        <v>1139.2874999999999</v>
      </c>
      <c r="E26" s="36">
        <f t="shared" si="3"/>
        <v>1002.4705361431885</v>
      </c>
      <c r="F26" s="33">
        <f t="shared" si="4"/>
        <v>2954.2580361431883</v>
      </c>
      <c r="G26" s="4"/>
      <c r="H26" s="34">
        <f t="shared" si="5"/>
        <v>12</v>
      </c>
      <c r="I26" s="35">
        <f t="shared" si="6"/>
        <v>12.5</v>
      </c>
      <c r="J26" s="5"/>
      <c r="K26" s="5"/>
    </row>
    <row r="27" spans="1:11" x14ac:dyDescent="0.35">
      <c r="A27" s="34">
        <f t="shared" si="1"/>
        <v>2031</v>
      </c>
      <c r="B27" s="36">
        <f t="shared" si="8"/>
        <v>21937.5</v>
      </c>
      <c r="C27" s="36">
        <f t="shared" si="2"/>
        <v>812.5</v>
      </c>
      <c r="D27" s="36">
        <f t="shared" si="7"/>
        <v>1099.3125</v>
      </c>
      <c r="E27" s="36">
        <f t="shared" si="3"/>
        <v>1022.5199468660522</v>
      </c>
      <c r="F27" s="33">
        <f t="shared" si="4"/>
        <v>2934.3324468660521</v>
      </c>
      <c r="G27" s="4"/>
      <c r="H27" s="34">
        <f t="shared" si="5"/>
        <v>13</v>
      </c>
      <c r="I27" s="35">
        <f t="shared" si="6"/>
        <v>12.5</v>
      </c>
      <c r="J27" s="5"/>
      <c r="K27" s="5"/>
    </row>
    <row r="28" spans="1:11" x14ac:dyDescent="0.35">
      <c r="A28" s="34">
        <f t="shared" si="1"/>
        <v>2032</v>
      </c>
      <c r="B28" s="36">
        <f t="shared" si="8"/>
        <v>21125</v>
      </c>
      <c r="C28" s="36">
        <f t="shared" si="2"/>
        <v>812.5</v>
      </c>
      <c r="D28" s="36">
        <f t="shared" si="7"/>
        <v>1059.3375000000001</v>
      </c>
      <c r="E28" s="36">
        <f t="shared" si="3"/>
        <v>1042.9703458033732</v>
      </c>
      <c r="F28" s="33">
        <f t="shared" si="4"/>
        <v>2914.8078458033733</v>
      </c>
      <c r="G28" s="4"/>
      <c r="H28" s="34">
        <f t="shared" si="5"/>
        <v>14</v>
      </c>
      <c r="I28" s="35">
        <f t="shared" si="6"/>
        <v>12.5</v>
      </c>
      <c r="J28" s="5"/>
      <c r="K28" s="5"/>
    </row>
    <row r="29" spans="1:11" x14ac:dyDescent="0.35">
      <c r="A29" s="34">
        <f t="shared" si="1"/>
        <v>2033</v>
      </c>
      <c r="B29" s="36">
        <f t="shared" si="8"/>
        <v>20312.5</v>
      </c>
      <c r="C29" s="36">
        <f t="shared" si="2"/>
        <v>812.5</v>
      </c>
      <c r="D29" s="36">
        <f t="shared" si="7"/>
        <v>1019.3625000000001</v>
      </c>
      <c r="E29" s="36">
        <f t="shared" si="3"/>
        <v>1063.8297527194406</v>
      </c>
      <c r="F29" s="33">
        <f t="shared" si="4"/>
        <v>2895.6922527194411</v>
      </c>
      <c r="G29" s="4"/>
      <c r="H29" s="34">
        <f t="shared" si="5"/>
        <v>15</v>
      </c>
      <c r="I29" s="35">
        <f t="shared" si="6"/>
        <v>12.5</v>
      </c>
      <c r="J29" s="5"/>
      <c r="K29" s="5"/>
    </row>
    <row r="30" spans="1:11" x14ac:dyDescent="0.35">
      <c r="A30" s="34">
        <f t="shared" si="1"/>
        <v>2034</v>
      </c>
      <c r="B30" s="36">
        <f t="shared" si="8"/>
        <v>19500</v>
      </c>
      <c r="C30" s="36">
        <f t="shared" si="2"/>
        <v>812.5</v>
      </c>
      <c r="D30" s="36">
        <f t="shared" si="7"/>
        <v>979.38750000000005</v>
      </c>
      <c r="E30" s="36">
        <f t="shared" si="3"/>
        <v>1085.1063477738294</v>
      </c>
      <c r="F30" s="33">
        <f t="shared" si="4"/>
        <v>2876.9938477738297</v>
      </c>
      <c r="G30" s="4"/>
      <c r="H30" s="34">
        <f t="shared" si="5"/>
        <v>16</v>
      </c>
      <c r="I30" s="35">
        <f t="shared" si="6"/>
        <v>12.5</v>
      </c>
      <c r="J30" s="5"/>
      <c r="K30" s="5"/>
    </row>
    <row r="31" spans="1:11" x14ac:dyDescent="0.35">
      <c r="A31" s="34">
        <f t="shared" si="1"/>
        <v>2035</v>
      </c>
      <c r="B31" s="36">
        <f t="shared" si="8"/>
        <v>18687.5</v>
      </c>
      <c r="C31" s="36">
        <f t="shared" si="2"/>
        <v>812.5</v>
      </c>
      <c r="D31" s="36">
        <f t="shared" si="7"/>
        <v>939.41250000000002</v>
      </c>
      <c r="E31" s="36">
        <f t="shared" si="3"/>
        <v>1106.808474729306</v>
      </c>
      <c r="F31" s="33">
        <f t="shared" si="4"/>
        <v>2858.7209747293059</v>
      </c>
      <c r="G31" s="4"/>
      <c r="H31" s="34">
        <f t="shared" si="5"/>
        <v>17</v>
      </c>
      <c r="I31" s="35">
        <f t="shared" si="6"/>
        <v>12.5</v>
      </c>
      <c r="J31" s="5"/>
      <c r="K31" s="5"/>
    </row>
    <row r="32" spans="1:11" x14ac:dyDescent="0.35">
      <c r="A32" s="34">
        <f t="shared" si="1"/>
        <v>2036</v>
      </c>
      <c r="B32" s="36">
        <f t="shared" si="8"/>
        <v>17875</v>
      </c>
      <c r="C32" s="36">
        <f t="shared" si="2"/>
        <v>812.5</v>
      </c>
      <c r="D32" s="36">
        <f t="shared" si="7"/>
        <v>899.4375</v>
      </c>
      <c r="E32" s="36">
        <f t="shared" si="3"/>
        <v>1128.9446442238921</v>
      </c>
      <c r="F32" s="33">
        <f t="shared" si="4"/>
        <v>2840.8821442238923</v>
      </c>
      <c r="G32" s="4"/>
      <c r="H32" s="34">
        <f t="shared" si="5"/>
        <v>18</v>
      </c>
      <c r="I32" s="35">
        <f t="shared" si="6"/>
        <v>12.5</v>
      </c>
      <c r="J32" s="5"/>
      <c r="K32" s="5"/>
    </row>
    <row r="33" spans="1:11" x14ac:dyDescent="0.35">
      <c r="A33" s="34">
        <f t="shared" si="1"/>
        <v>2037</v>
      </c>
      <c r="B33" s="36">
        <f t="shared" si="8"/>
        <v>17062.5</v>
      </c>
      <c r="C33" s="36">
        <f t="shared" si="2"/>
        <v>812.5</v>
      </c>
      <c r="D33" s="36">
        <f t="shared" si="7"/>
        <v>859.46249999999998</v>
      </c>
      <c r="E33" s="36">
        <f t="shared" si="3"/>
        <v>1151.52353710837</v>
      </c>
      <c r="F33" s="33">
        <f t="shared" si="4"/>
        <v>2823.4860371083701</v>
      </c>
      <c r="G33" s="4"/>
      <c r="H33" s="34">
        <f t="shared" si="5"/>
        <v>19</v>
      </c>
      <c r="I33" s="35">
        <f t="shared" si="6"/>
        <v>12.5</v>
      </c>
      <c r="J33" s="5"/>
      <c r="K33" s="5"/>
    </row>
    <row r="34" spans="1:11" x14ac:dyDescent="0.35">
      <c r="A34" s="34">
        <f t="shared" si="1"/>
        <v>2038</v>
      </c>
      <c r="B34" s="36">
        <f t="shared" si="8"/>
        <v>16250</v>
      </c>
      <c r="C34" s="36">
        <f t="shared" si="2"/>
        <v>812.5</v>
      </c>
      <c r="D34" s="36">
        <f t="shared" si="7"/>
        <v>819.48749999999995</v>
      </c>
      <c r="E34" s="36">
        <f t="shared" si="3"/>
        <v>1174.5540078505373</v>
      </c>
      <c r="F34" s="33">
        <f t="shared" si="4"/>
        <v>2806.5415078505375</v>
      </c>
      <c r="G34" s="4"/>
      <c r="H34" s="34">
        <f t="shared" si="5"/>
        <v>20</v>
      </c>
      <c r="I34" s="35">
        <f t="shared" si="6"/>
        <v>12.5</v>
      </c>
      <c r="J34" s="5"/>
      <c r="K34" s="5"/>
    </row>
    <row r="35" spans="1:11" x14ac:dyDescent="0.35">
      <c r="A35" s="34">
        <f t="shared" si="1"/>
        <v>2039</v>
      </c>
      <c r="B35" s="36">
        <f t="shared" si="8"/>
        <v>15437.5</v>
      </c>
      <c r="C35" s="36">
        <f t="shared" si="2"/>
        <v>812.5</v>
      </c>
      <c r="D35" s="36">
        <f t="shared" si="7"/>
        <v>779.51250000000005</v>
      </c>
      <c r="E35" s="36">
        <f t="shared" si="3"/>
        <v>1198.0450880075482</v>
      </c>
      <c r="F35" s="33">
        <f t="shared" si="4"/>
        <v>2790.0575880075485</v>
      </c>
      <c r="G35" s="4"/>
      <c r="H35" s="34">
        <f t="shared" si="5"/>
        <v>21</v>
      </c>
      <c r="I35" s="35">
        <f t="shared" si="6"/>
        <v>12.5</v>
      </c>
      <c r="J35" s="5"/>
      <c r="K35" s="5"/>
    </row>
    <row r="36" spans="1:11" x14ac:dyDescent="0.35">
      <c r="A36" s="34">
        <f t="shared" si="1"/>
        <v>2040</v>
      </c>
      <c r="B36" s="36">
        <f t="shared" si="8"/>
        <v>14625</v>
      </c>
      <c r="C36" s="36">
        <f t="shared" si="2"/>
        <v>812.5</v>
      </c>
      <c r="D36" s="36">
        <f t="shared" si="7"/>
        <v>739.53750000000002</v>
      </c>
      <c r="E36" s="36">
        <f t="shared" si="3"/>
        <v>1222.0059897676992</v>
      </c>
      <c r="F36" s="33">
        <f t="shared" si="4"/>
        <v>2774.0434897676992</v>
      </c>
      <c r="G36" s="4"/>
      <c r="H36" s="34">
        <f t="shared" si="5"/>
        <v>22</v>
      </c>
      <c r="I36" s="35">
        <f t="shared" si="6"/>
        <v>12.5</v>
      </c>
      <c r="J36" s="5"/>
      <c r="K36" s="5"/>
    </row>
    <row r="37" spans="1:11" x14ac:dyDescent="0.35">
      <c r="A37" s="34">
        <f t="shared" si="1"/>
        <v>2041</v>
      </c>
      <c r="B37" s="36">
        <f t="shared" si="8"/>
        <v>13812.5</v>
      </c>
      <c r="C37" s="36">
        <f t="shared" si="2"/>
        <v>812.5</v>
      </c>
      <c r="D37" s="36">
        <f t="shared" si="7"/>
        <v>699.5625</v>
      </c>
      <c r="E37" s="36">
        <f t="shared" si="3"/>
        <v>1246.4461095630531</v>
      </c>
      <c r="F37" s="33">
        <f t="shared" si="4"/>
        <v>2758.5086095630531</v>
      </c>
      <c r="G37" s="4"/>
      <c r="H37" s="34">
        <f t="shared" si="5"/>
        <v>23</v>
      </c>
      <c r="I37" s="35">
        <f t="shared" si="6"/>
        <v>12.5</v>
      </c>
      <c r="J37" s="5"/>
      <c r="K37" s="5"/>
    </row>
    <row r="38" spans="1:11" x14ac:dyDescent="0.35">
      <c r="A38" s="34">
        <f t="shared" si="1"/>
        <v>2042</v>
      </c>
      <c r="B38" s="36">
        <f t="shared" si="8"/>
        <v>13000</v>
      </c>
      <c r="C38" s="36">
        <f t="shared" si="2"/>
        <v>812.5</v>
      </c>
      <c r="D38" s="36">
        <f t="shared" si="7"/>
        <v>659.58749999999998</v>
      </c>
      <c r="E38" s="36">
        <f t="shared" si="3"/>
        <v>1271.3750317543143</v>
      </c>
      <c r="F38" s="33">
        <f t="shared" si="4"/>
        <v>2743.4625317543141</v>
      </c>
      <c r="G38" s="4"/>
      <c r="H38" s="34">
        <f t="shared" si="5"/>
        <v>24</v>
      </c>
      <c r="I38" s="35">
        <f t="shared" si="6"/>
        <v>12.5</v>
      </c>
      <c r="J38" s="5"/>
      <c r="K38" s="5"/>
    </row>
    <row r="39" spans="1:11" x14ac:dyDescent="0.35">
      <c r="A39" s="34">
        <f t="shared" si="1"/>
        <v>2043</v>
      </c>
      <c r="B39" s="36">
        <f t="shared" si="8"/>
        <v>12187.5</v>
      </c>
      <c r="C39" s="36">
        <f t="shared" si="2"/>
        <v>812.5</v>
      </c>
      <c r="D39" s="36">
        <f t="shared" si="7"/>
        <v>619.61249999999995</v>
      </c>
      <c r="E39" s="36">
        <f t="shared" si="3"/>
        <v>1296.8025323894005</v>
      </c>
      <c r="F39" s="33">
        <f t="shared" si="4"/>
        <v>2728.9150323894005</v>
      </c>
      <c r="G39" s="4"/>
      <c r="H39" s="34">
        <f t="shared" si="5"/>
        <v>25</v>
      </c>
      <c r="I39" s="35">
        <f t="shared" si="6"/>
        <v>12.5</v>
      </c>
      <c r="J39" s="5"/>
      <c r="K39" s="5"/>
    </row>
    <row r="40" spans="1:11" x14ac:dyDescent="0.35">
      <c r="A40" s="34">
        <f t="shared" si="1"/>
        <v>2044</v>
      </c>
      <c r="B40" s="36">
        <f t="shared" si="8"/>
        <v>11375</v>
      </c>
      <c r="C40" s="36">
        <f t="shared" si="2"/>
        <v>812.5</v>
      </c>
      <c r="D40" s="36">
        <f t="shared" si="7"/>
        <v>579.63750000000005</v>
      </c>
      <c r="E40" s="36">
        <f t="shared" si="3"/>
        <v>1322.7385830371886</v>
      </c>
      <c r="F40" s="33">
        <f t="shared" si="4"/>
        <v>2714.8760830371884</v>
      </c>
      <c r="G40" s="4"/>
      <c r="H40" s="34">
        <f t="shared" si="5"/>
        <v>26</v>
      </c>
      <c r="I40" s="35">
        <f t="shared" si="6"/>
        <v>12.5</v>
      </c>
      <c r="J40" s="5"/>
      <c r="K40" s="5"/>
    </row>
    <row r="41" spans="1:11" x14ac:dyDescent="0.35">
      <c r="A41" s="34">
        <f t="shared" si="1"/>
        <v>2045</v>
      </c>
      <c r="B41" s="36">
        <f t="shared" si="8"/>
        <v>10562.5</v>
      </c>
      <c r="C41" s="36">
        <f t="shared" si="2"/>
        <v>812.5</v>
      </c>
      <c r="D41" s="36">
        <f t="shared" ref="D41:D54" si="9">IF(ISNUMBER(B41),(B41+B40)/2*WACC,"")</f>
        <v>539.66250000000002</v>
      </c>
      <c r="E41" s="36">
        <f t="shared" si="3"/>
        <v>1349.1933546979324</v>
      </c>
      <c r="F41" s="33">
        <f t="shared" si="4"/>
        <v>2701.355854697932</v>
      </c>
      <c r="G41" s="4"/>
      <c r="H41" s="34">
        <f t="shared" si="5"/>
        <v>27</v>
      </c>
      <c r="I41" s="35">
        <f t="shared" si="6"/>
        <v>12.5</v>
      </c>
      <c r="J41" s="5"/>
      <c r="K41" s="5"/>
    </row>
    <row r="42" spans="1:11" x14ac:dyDescent="0.35">
      <c r="A42" s="34">
        <f t="shared" si="1"/>
        <v>2046</v>
      </c>
      <c r="B42" s="36">
        <f t="shared" si="8"/>
        <v>9750</v>
      </c>
      <c r="C42" s="36">
        <f t="shared" si="2"/>
        <v>812.5</v>
      </c>
      <c r="D42" s="36">
        <f t="shared" si="9"/>
        <v>499.6875</v>
      </c>
      <c r="E42" s="36">
        <f t="shared" si="3"/>
        <v>1376.177221791891</v>
      </c>
      <c r="F42" s="33">
        <f t="shared" si="4"/>
        <v>2688.364721791891</v>
      </c>
      <c r="G42" s="4"/>
      <c r="H42" s="34">
        <f t="shared" si="5"/>
        <v>28</v>
      </c>
      <c r="I42" s="35">
        <f t="shared" si="6"/>
        <v>12.5</v>
      </c>
      <c r="J42" s="5"/>
      <c r="K42" s="5"/>
    </row>
    <row r="43" spans="1:11" x14ac:dyDescent="0.35">
      <c r="A43" s="34">
        <f t="shared" si="1"/>
        <v>2047</v>
      </c>
      <c r="B43" s="36">
        <f t="shared" si="8"/>
        <v>8937.5</v>
      </c>
      <c r="C43" s="36">
        <f t="shared" si="2"/>
        <v>812.5</v>
      </c>
      <c r="D43" s="36">
        <f t="shared" si="9"/>
        <v>459.71250000000003</v>
      </c>
      <c r="E43" s="36">
        <f t="shared" si="3"/>
        <v>1403.700766227729</v>
      </c>
      <c r="F43" s="33">
        <f t="shared" si="4"/>
        <v>2675.9132662277289</v>
      </c>
      <c r="G43" s="4"/>
      <c r="H43" s="34">
        <f t="shared" si="5"/>
        <v>29</v>
      </c>
      <c r="I43" s="35">
        <f t="shared" si="6"/>
        <v>12.5</v>
      </c>
      <c r="J43" s="5"/>
      <c r="K43" s="5"/>
    </row>
    <row r="44" spans="1:11" x14ac:dyDescent="0.35">
      <c r="A44" s="34">
        <f t="shared" si="1"/>
        <v>2048</v>
      </c>
      <c r="B44" s="36">
        <f t="shared" si="8"/>
        <v>8125</v>
      </c>
      <c r="C44" s="36">
        <f t="shared" si="2"/>
        <v>812.5</v>
      </c>
      <c r="D44" s="36">
        <f t="shared" si="9"/>
        <v>419.73750000000001</v>
      </c>
      <c r="E44" s="36">
        <f t="shared" si="3"/>
        <v>1431.7747815522837</v>
      </c>
      <c r="F44" s="33">
        <f t="shared" si="4"/>
        <v>2664.0122815522836</v>
      </c>
      <c r="G44" s="4"/>
      <c r="H44" s="34">
        <f t="shared" si="5"/>
        <v>30</v>
      </c>
      <c r="I44" s="35">
        <f t="shared" si="6"/>
        <v>12.5</v>
      </c>
      <c r="J44" s="5"/>
      <c r="K44" s="5"/>
    </row>
    <row r="45" spans="1:11" x14ac:dyDescent="0.35">
      <c r="A45" s="34">
        <f t="shared" si="1"/>
        <v>2049</v>
      </c>
      <c r="B45" s="36">
        <f t="shared" si="8"/>
        <v>7312.5</v>
      </c>
      <c r="C45" s="36">
        <f t="shared" si="2"/>
        <v>812.5</v>
      </c>
      <c r="D45" s="36">
        <f t="shared" si="9"/>
        <v>379.76249999999999</v>
      </c>
      <c r="E45" s="36">
        <f t="shared" si="3"/>
        <v>1460.4102771833293</v>
      </c>
      <c r="F45" s="33">
        <f t="shared" si="4"/>
        <v>2652.6727771833293</v>
      </c>
      <c r="G45" s="4"/>
      <c r="H45" s="34">
        <f t="shared" si="5"/>
        <v>31</v>
      </c>
      <c r="I45" s="35">
        <f t="shared" si="6"/>
        <v>12.5</v>
      </c>
      <c r="J45" s="5"/>
      <c r="K45" s="5"/>
    </row>
    <row r="46" spans="1:11" x14ac:dyDescent="0.35">
      <c r="A46" s="34">
        <f t="shared" si="1"/>
        <v>2050</v>
      </c>
      <c r="B46" s="36">
        <f t="shared" si="8"/>
        <v>6500</v>
      </c>
      <c r="C46" s="36">
        <f t="shared" si="2"/>
        <v>812.5</v>
      </c>
      <c r="D46" s="36">
        <f t="shared" si="9"/>
        <v>339.78750000000002</v>
      </c>
      <c r="E46" s="36">
        <f t="shared" si="3"/>
        <v>1489.6184827269958</v>
      </c>
      <c r="F46" s="33">
        <f t="shared" si="4"/>
        <v>2641.9059827269957</v>
      </c>
      <c r="G46" s="4"/>
      <c r="H46" s="34">
        <f t="shared" si="5"/>
        <v>32</v>
      </c>
      <c r="I46" s="35">
        <f t="shared" si="6"/>
        <v>12.5</v>
      </c>
      <c r="J46" s="5"/>
      <c r="K46" s="5"/>
    </row>
    <row r="47" spans="1:11" x14ac:dyDescent="0.35">
      <c r="A47" s="34">
        <f t="shared" si="1"/>
        <v>2051</v>
      </c>
      <c r="B47" s="36">
        <f t="shared" si="8"/>
        <v>5687.5</v>
      </c>
      <c r="C47" s="36">
        <f t="shared" si="2"/>
        <v>812.5</v>
      </c>
      <c r="D47" s="36">
        <f t="shared" si="9"/>
        <v>299.8125</v>
      </c>
      <c r="E47" s="36">
        <f t="shared" si="3"/>
        <v>1519.4108523815357</v>
      </c>
      <c r="F47" s="33">
        <f t="shared" si="4"/>
        <v>2631.7233523815357</v>
      </c>
      <c r="G47" s="4"/>
      <c r="H47" s="34">
        <f t="shared" si="5"/>
        <v>33</v>
      </c>
      <c r="I47" s="35">
        <f t="shared" si="6"/>
        <v>12.5</v>
      </c>
      <c r="J47" s="5"/>
      <c r="K47" s="5"/>
    </row>
    <row r="48" spans="1:11" x14ac:dyDescent="0.35">
      <c r="A48" s="34">
        <f t="shared" si="1"/>
        <v>2052</v>
      </c>
      <c r="B48" s="36">
        <f t="shared" si="8"/>
        <v>4875</v>
      </c>
      <c r="C48" s="36">
        <f t="shared" si="2"/>
        <v>812.5</v>
      </c>
      <c r="D48" s="36">
        <f t="shared" si="9"/>
        <v>259.83749999999998</v>
      </c>
      <c r="E48" s="36">
        <f t="shared" si="3"/>
        <v>1549.7990694291664</v>
      </c>
      <c r="F48" s="33">
        <f t="shared" si="4"/>
        <v>2622.1365694291662</v>
      </c>
      <c r="G48" s="4"/>
      <c r="H48" s="34">
        <f t="shared" si="5"/>
        <v>34</v>
      </c>
      <c r="I48" s="35">
        <f t="shared" si="6"/>
        <v>12.5</v>
      </c>
      <c r="J48" s="5"/>
      <c r="K48" s="5"/>
    </row>
    <row r="49" spans="1:21" x14ac:dyDescent="0.35">
      <c r="A49" s="34">
        <f t="shared" si="1"/>
        <v>2053</v>
      </c>
      <c r="B49" s="36">
        <f t="shared" si="8"/>
        <v>4062.5</v>
      </c>
      <c r="C49" s="36">
        <f t="shared" si="2"/>
        <v>812.5</v>
      </c>
      <c r="D49" s="36">
        <f t="shared" si="9"/>
        <v>219.86250000000001</v>
      </c>
      <c r="E49" s="36">
        <f t="shared" si="3"/>
        <v>1580.7950508177498</v>
      </c>
      <c r="F49" s="33">
        <f t="shared" si="4"/>
        <v>2613.1575508177498</v>
      </c>
      <c r="G49" s="4"/>
      <c r="H49" s="34">
        <f t="shared" si="5"/>
        <v>35</v>
      </c>
      <c r="I49" s="35">
        <f t="shared" si="6"/>
        <v>12.5</v>
      </c>
      <c r="J49" s="5"/>
      <c r="K49" s="5"/>
    </row>
    <row r="50" spans="1:21" x14ac:dyDescent="0.35">
      <c r="A50" s="34">
        <f t="shared" si="1"/>
        <v>2054</v>
      </c>
      <c r="B50" s="36">
        <f t="shared" si="8"/>
        <v>3250</v>
      </c>
      <c r="C50" s="36">
        <f t="shared" si="2"/>
        <v>812.5</v>
      </c>
      <c r="D50" s="36">
        <f t="shared" si="9"/>
        <v>179.88749999999999</v>
      </c>
      <c r="E50" s="36">
        <f t="shared" si="3"/>
        <v>1612.4109518341049</v>
      </c>
      <c r="F50" s="33">
        <f t="shared" si="4"/>
        <v>2604.798451834105</v>
      </c>
      <c r="G50" s="4"/>
      <c r="H50" s="34">
        <f t="shared" si="5"/>
        <v>36</v>
      </c>
      <c r="I50" s="35">
        <f t="shared" si="6"/>
        <v>12.5</v>
      </c>
      <c r="J50" s="5"/>
      <c r="K50" s="5"/>
    </row>
    <row r="51" spans="1:21" x14ac:dyDescent="0.35">
      <c r="A51" s="34">
        <f t="shared" si="1"/>
        <v>2055</v>
      </c>
      <c r="B51" s="36">
        <f t="shared" si="8"/>
        <v>2437.5</v>
      </c>
      <c r="C51" s="36">
        <f t="shared" si="2"/>
        <v>812.5</v>
      </c>
      <c r="D51" s="36">
        <f t="shared" si="9"/>
        <v>139.91249999999999</v>
      </c>
      <c r="E51" s="36">
        <f t="shared" si="3"/>
        <v>1644.659170870787</v>
      </c>
      <c r="F51" s="33">
        <f t="shared" si="4"/>
        <v>2597.0716708707869</v>
      </c>
      <c r="G51" s="4"/>
      <c r="H51" s="34">
        <f t="shared" si="5"/>
        <v>37</v>
      </c>
      <c r="I51" s="35">
        <f t="shared" si="6"/>
        <v>12.5</v>
      </c>
      <c r="J51" s="5"/>
      <c r="K51" s="5"/>
    </row>
    <row r="52" spans="1:21" x14ac:dyDescent="0.35">
      <c r="A52" s="34">
        <f t="shared" si="1"/>
        <v>2056</v>
      </c>
      <c r="B52" s="36">
        <f t="shared" si="8"/>
        <v>1625</v>
      </c>
      <c r="C52" s="36">
        <f t="shared" si="2"/>
        <v>812.5</v>
      </c>
      <c r="D52" s="36">
        <f t="shared" si="9"/>
        <v>99.9375</v>
      </c>
      <c r="E52" s="36">
        <f t="shared" si="3"/>
        <v>1677.5523542882027</v>
      </c>
      <c r="F52" s="33">
        <f t="shared" si="4"/>
        <v>2589.9898542882029</v>
      </c>
      <c r="G52" s="4"/>
      <c r="H52" s="34">
        <f t="shared" si="5"/>
        <v>38</v>
      </c>
      <c r="I52" s="35">
        <f t="shared" si="6"/>
        <v>12.5</v>
      </c>
      <c r="J52" s="5"/>
      <c r="K52" s="5"/>
    </row>
    <row r="53" spans="1:21" x14ac:dyDescent="0.35">
      <c r="A53" s="34">
        <f t="shared" si="1"/>
        <v>2057</v>
      </c>
      <c r="B53" s="36">
        <f t="shared" si="8"/>
        <v>812.5</v>
      </c>
      <c r="C53" s="36">
        <f t="shared" si="2"/>
        <v>812.5</v>
      </c>
      <c r="D53" s="36">
        <f t="shared" si="9"/>
        <v>59.962499999999999</v>
      </c>
      <c r="E53" s="36">
        <f t="shared" si="3"/>
        <v>1711.1034013739668</v>
      </c>
      <c r="F53" s="33">
        <f t="shared" si="4"/>
        <v>2583.5659013739669</v>
      </c>
      <c r="G53" s="4"/>
      <c r="H53" s="34">
        <f t="shared" si="5"/>
        <v>39</v>
      </c>
      <c r="I53" s="35">
        <f t="shared" si="6"/>
        <v>12.5</v>
      </c>
      <c r="J53" s="5"/>
      <c r="K53" s="5"/>
    </row>
    <row r="54" spans="1:21" x14ac:dyDescent="0.35">
      <c r="A54" s="34">
        <f t="shared" si="1"/>
        <v>2058</v>
      </c>
      <c r="B54" s="36">
        <f t="shared" si="8"/>
        <v>0</v>
      </c>
      <c r="C54" s="36">
        <f t="shared" si="2"/>
        <v>812.5</v>
      </c>
      <c r="D54" s="36">
        <f t="shared" si="9"/>
        <v>19.987500000000001</v>
      </c>
      <c r="E54" s="36">
        <f t="shared" si="3"/>
        <v>1745.3254694014461</v>
      </c>
      <c r="F54" s="33">
        <f t="shared" si="4"/>
        <v>2577.812969401446</v>
      </c>
      <c r="G54" s="4"/>
      <c r="H54" s="34">
        <f t="shared" si="5"/>
        <v>40</v>
      </c>
      <c r="I54" s="35">
        <f t="shared" si="6"/>
        <v>12.5</v>
      </c>
      <c r="J54" s="5"/>
      <c r="K54" s="5"/>
    </row>
    <row r="55" spans="1:21" ht="12" customHeight="1" x14ac:dyDescent="0.35">
      <c r="A55" s="37"/>
      <c r="B55" s="38"/>
      <c r="C55" s="38"/>
      <c r="D55" s="38"/>
      <c r="E55" s="38"/>
      <c r="F55" s="38"/>
      <c r="G55" s="19"/>
      <c r="H55" s="39"/>
      <c r="J55" s="40"/>
    </row>
    <row r="56" spans="1:21" ht="12" customHeight="1" x14ac:dyDescent="0.35">
      <c r="A56" s="37" t="s">
        <v>21</v>
      </c>
      <c r="B56" s="38"/>
      <c r="C56" s="38">
        <f>NPV(WACC,C16:C54)+C15</f>
        <v>14789.349046249832</v>
      </c>
      <c r="D56" s="38">
        <f>NPV(WACC,D16:D54)+D15</f>
        <v>18945.832967212464</v>
      </c>
      <c r="E56" s="38">
        <f>NPV(WACC,E16:E54)+E15</f>
        <v>19602.341024995945</v>
      </c>
      <c r="F56" s="38">
        <f>NPV(WACC,F16:F54)+F15</f>
        <v>53337.523038458246</v>
      </c>
      <c r="G56" s="19"/>
      <c r="H56" s="42"/>
      <c r="J56" s="4"/>
      <c r="K56" s="4"/>
    </row>
    <row r="57" spans="1:21" s="2" customFormat="1" x14ac:dyDescent="0.35">
      <c r="A57" s="43"/>
      <c r="B57" s="41"/>
      <c r="C57" s="41"/>
      <c r="F57" s="4"/>
      <c r="M57" s="5"/>
      <c r="N57" s="5"/>
      <c r="O57" s="5"/>
      <c r="P57" s="5"/>
      <c r="Q57" s="5"/>
      <c r="R57" s="5"/>
      <c r="S57" s="5"/>
      <c r="T57" s="5"/>
      <c r="U57" s="5"/>
    </row>
    <row r="58" spans="1:21" s="2" customFormat="1" x14ac:dyDescent="0.35">
      <c r="A58" s="43"/>
      <c r="B58" s="17"/>
      <c r="C58" s="44"/>
      <c r="D58" s="19"/>
      <c r="F58" s="4"/>
      <c r="M58" s="5"/>
      <c r="N58" s="5"/>
      <c r="O58" s="5"/>
      <c r="P58" s="5"/>
      <c r="Q58" s="5"/>
      <c r="R58" s="5"/>
      <c r="S58" s="5"/>
      <c r="T58" s="5"/>
      <c r="U58" s="5"/>
    </row>
    <row r="59" spans="1:21" s="2" customFormat="1" x14ac:dyDescent="0.35">
      <c r="A59" s="46" t="s">
        <v>18</v>
      </c>
      <c r="B59" s="17"/>
      <c r="C59" s="44"/>
      <c r="D59" s="19"/>
      <c r="F59" s="4"/>
      <c r="M59" s="5"/>
      <c r="N59" s="5"/>
      <c r="O59" s="5"/>
      <c r="P59" s="5"/>
      <c r="Q59" s="5"/>
      <c r="R59" s="5"/>
      <c r="S59" s="5"/>
      <c r="T59" s="5"/>
      <c r="U59" s="5"/>
    </row>
    <row r="60" spans="1:21" s="2" customFormat="1" ht="37.5" customHeight="1" x14ac:dyDescent="0.35">
      <c r="A60" s="52" t="s">
        <v>22</v>
      </c>
      <c r="B60" s="52"/>
      <c r="C60" s="52"/>
      <c r="D60" s="52"/>
      <c r="E60" s="52"/>
      <c r="F60" s="52"/>
      <c r="G60" s="52"/>
      <c r="H60" s="52"/>
      <c r="I60" s="52"/>
      <c r="M60" s="5"/>
      <c r="N60" s="5"/>
      <c r="O60" s="5"/>
      <c r="P60" s="5"/>
      <c r="Q60" s="5"/>
      <c r="R60" s="5"/>
      <c r="S60" s="5"/>
      <c r="T60" s="5"/>
      <c r="U60" s="5"/>
    </row>
    <row r="61" spans="1:21" s="2" customFormat="1" x14ac:dyDescent="0.35">
      <c r="A61" s="43"/>
      <c r="B61" s="17"/>
      <c r="C61" s="44"/>
      <c r="D61" s="19"/>
      <c r="F61" s="4"/>
      <c r="M61" s="5"/>
      <c r="N61" s="5"/>
      <c r="O61" s="5"/>
      <c r="P61" s="5"/>
      <c r="Q61" s="5"/>
      <c r="R61" s="5"/>
      <c r="S61" s="5"/>
      <c r="T61" s="5"/>
      <c r="U61" s="5"/>
    </row>
    <row r="62" spans="1:21" s="2" customFormat="1" x14ac:dyDescent="0.35">
      <c r="A62" s="43"/>
      <c r="D62" s="19"/>
      <c r="F62" s="4"/>
      <c r="M62" s="5"/>
      <c r="N62" s="5"/>
      <c r="O62" s="5"/>
      <c r="P62" s="5"/>
      <c r="Q62" s="5"/>
      <c r="R62" s="5"/>
      <c r="S62" s="5"/>
      <c r="T62" s="5"/>
      <c r="U62" s="5"/>
    </row>
    <row r="63" spans="1:21" s="2" customFormat="1" x14ac:dyDescent="0.35">
      <c r="A63" s="43"/>
      <c r="B63" s="45"/>
      <c r="C63" s="44"/>
      <c r="D63" s="19"/>
      <c r="F63" s="4"/>
      <c r="M63" s="5"/>
      <c r="N63" s="5"/>
      <c r="O63" s="5"/>
      <c r="P63" s="5"/>
      <c r="Q63" s="5"/>
      <c r="R63" s="5"/>
      <c r="S63" s="5"/>
      <c r="T63" s="5"/>
      <c r="U63" s="5"/>
    </row>
    <row r="64" spans="1:21" s="2" customFormat="1" x14ac:dyDescent="0.35">
      <c r="A64" s="43"/>
      <c r="B64" s="45"/>
      <c r="C64" s="44"/>
      <c r="D64" s="19"/>
      <c r="F64" s="4"/>
      <c r="M64" s="5"/>
      <c r="N64" s="5"/>
      <c r="O64" s="5"/>
      <c r="P64" s="5"/>
      <c r="Q64" s="5"/>
      <c r="R64" s="5"/>
      <c r="S64" s="5"/>
      <c r="T64" s="5"/>
      <c r="U64" s="5"/>
    </row>
    <row r="65" spans="1:21" s="2" customFormat="1" x14ac:dyDescent="0.35">
      <c r="A65" s="43"/>
      <c r="B65" s="45"/>
      <c r="C65" s="44"/>
      <c r="D65" s="19"/>
      <c r="F65" s="4"/>
      <c r="M65" s="5"/>
      <c r="N65" s="5"/>
      <c r="O65" s="5"/>
      <c r="P65" s="5"/>
      <c r="Q65" s="5"/>
      <c r="R65" s="5"/>
      <c r="S65" s="5"/>
      <c r="T65" s="5"/>
      <c r="U65" s="5"/>
    </row>
    <row r="66" spans="1:21" s="2" customFormat="1" x14ac:dyDescent="0.35">
      <c r="A66" s="43"/>
      <c r="B66" s="45"/>
      <c r="C66" s="44"/>
      <c r="D66" s="19"/>
      <c r="F66" s="4"/>
      <c r="M66" s="5"/>
      <c r="N66" s="5"/>
      <c r="O66" s="5"/>
      <c r="P66" s="5"/>
      <c r="Q66" s="5"/>
      <c r="R66" s="5"/>
      <c r="S66" s="5"/>
      <c r="T66" s="5"/>
      <c r="U66" s="5"/>
    </row>
    <row r="67" spans="1:21" s="2" customFormat="1" x14ac:dyDescent="0.35">
      <c r="A67" s="43"/>
      <c r="B67" s="45"/>
      <c r="C67" s="44"/>
      <c r="D67" s="19"/>
      <c r="F67" s="4"/>
      <c r="M67" s="5"/>
      <c r="N67" s="5"/>
      <c r="O67" s="5"/>
      <c r="P67" s="5"/>
      <c r="Q67" s="5"/>
      <c r="R67" s="5"/>
      <c r="S67" s="5"/>
      <c r="T67" s="5"/>
      <c r="U67" s="5"/>
    </row>
    <row r="68" spans="1:21" s="2" customFormat="1" x14ac:dyDescent="0.35">
      <c r="A68" s="43"/>
      <c r="F68" s="4"/>
      <c r="M68" s="5"/>
      <c r="N68" s="5"/>
      <c r="O68" s="5"/>
      <c r="P68" s="5"/>
      <c r="Q68" s="5"/>
      <c r="R68" s="5"/>
      <c r="S68" s="5"/>
      <c r="T68" s="5"/>
      <c r="U68" s="5"/>
    </row>
    <row r="69" spans="1:21" s="2" customFormat="1" x14ac:dyDescent="0.35">
      <c r="A69" s="43"/>
      <c r="F69" s="4"/>
      <c r="M69" s="5"/>
      <c r="N69" s="5"/>
      <c r="O69" s="5"/>
      <c r="P69" s="5"/>
      <c r="Q69" s="5"/>
      <c r="R69" s="5"/>
      <c r="S69" s="5"/>
      <c r="T69" s="5"/>
      <c r="U69" s="5"/>
    </row>
    <row r="70" spans="1:21" s="2" customFormat="1" x14ac:dyDescent="0.35">
      <c r="A70" s="43"/>
      <c r="F70" s="4"/>
    </row>
    <row r="71" spans="1:21" s="2" customFormat="1" x14ac:dyDescent="0.35">
      <c r="A71" s="43"/>
      <c r="F71" s="4"/>
    </row>
    <row r="72" spans="1:21" s="2" customFormat="1" x14ac:dyDescent="0.35">
      <c r="A72" s="43"/>
      <c r="F72" s="4"/>
    </row>
    <row r="73" spans="1:21" s="2" customFormat="1" x14ac:dyDescent="0.35">
      <c r="A73" s="43"/>
      <c r="F73" s="4"/>
    </row>
    <row r="74" spans="1:21" s="2" customFormat="1" x14ac:dyDescent="0.35">
      <c r="A74" s="43"/>
      <c r="F74" s="4"/>
    </row>
    <row r="75" spans="1:21" s="2" customFormat="1" x14ac:dyDescent="0.35">
      <c r="A75" s="43"/>
      <c r="F75" s="4"/>
    </row>
    <row r="76" spans="1:21" s="2" customFormat="1" x14ac:dyDescent="0.35">
      <c r="A76" s="43"/>
      <c r="F76" s="4"/>
    </row>
    <row r="77" spans="1:21" s="2" customFormat="1" x14ac:dyDescent="0.35">
      <c r="A77" s="43"/>
      <c r="F77" s="4"/>
    </row>
  </sheetData>
  <mergeCells count="5">
    <mergeCell ref="A12:A14"/>
    <mergeCell ref="B12:F12"/>
    <mergeCell ref="H12:H14"/>
    <mergeCell ref="I12:I14"/>
    <mergeCell ref="A60:I60"/>
  </mergeCells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7D1AA-9581-45E1-9FA0-AFD9113B73CF}">
  <sheetPr>
    <pageSetUpPr fitToPage="1"/>
  </sheetPr>
  <dimension ref="A1:U77"/>
  <sheetViews>
    <sheetView view="pageBreakPreview" zoomScale="130" zoomScaleNormal="115" zoomScaleSheetLayoutView="130" workbookViewId="0">
      <selection activeCell="F8" sqref="F8"/>
    </sheetView>
  </sheetViews>
  <sheetFormatPr defaultColWidth="6" defaultRowHeight="10.5" x14ac:dyDescent="0.35"/>
  <cols>
    <col min="1" max="1" width="9.7265625" style="2" customWidth="1"/>
    <col min="2" max="2" width="10" style="2" customWidth="1"/>
    <col min="3" max="5" width="8" style="2" customWidth="1"/>
    <col min="6" max="6" width="8" style="4" customWidth="1"/>
    <col min="7" max="7" width="7.08984375" style="2" customWidth="1"/>
    <col min="8" max="8" width="9.54296875" style="2" customWidth="1"/>
    <col min="9" max="9" width="10.81640625" style="2" customWidth="1"/>
    <col min="10" max="10" width="9.453125" style="2" customWidth="1"/>
    <col min="11" max="11" width="4.1796875" style="2" customWidth="1"/>
    <col min="12" max="12" width="6" style="5"/>
    <col min="13" max="13" width="9.1796875" style="5" bestFit="1" customWidth="1"/>
    <col min="14" max="14" width="6" style="5"/>
    <col min="15" max="15" width="7.54296875" style="5" bestFit="1" customWidth="1"/>
    <col min="16" max="17" width="6" style="5"/>
    <col min="18" max="18" width="10.36328125" style="5" bestFit="1" customWidth="1"/>
    <col min="19" max="16384" width="6" style="5"/>
  </cols>
  <sheetData>
    <row r="1" spans="1:11" x14ac:dyDescent="0.35">
      <c r="A1" s="1" t="s">
        <v>16</v>
      </c>
      <c r="E1" s="3"/>
    </row>
    <row r="2" spans="1:11" x14ac:dyDescent="0.35">
      <c r="G2" s="6"/>
      <c r="I2" s="7" t="s">
        <v>0</v>
      </c>
      <c r="J2" s="8">
        <v>4.7940000000000003E-2</v>
      </c>
      <c r="K2" s="9"/>
    </row>
    <row r="3" spans="1:11" ht="12.75" customHeight="1" x14ac:dyDescent="0.35">
      <c r="A3" s="10"/>
      <c r="C3" s="11"/>
      <c r="F3" s="4" t="s">
        <v>1</v>
      </c>
      <c r="G3" s="6"/>
      <c r="I3" s="7" t="s">
        <v>2</v>
      </c>
      <c r="J3" s="12">
        <v>0.02</v>
      </c>
    </row>
    <row r="4" spans="1:11" x14ac:dyDescent="0.35">
      <c r="A4" s="14" t="s">
        <v>3</v>
      </c>
      <c r="C4" s="15">
        <v>2019</v>
      </c>
      <c r="D4" s="13">
        <v>32500</v>
      </c>
      <c r="F4" s="16">
        <v>12.5</v>
      </c>
      <c r="I4" s="7" t="s">
        <v>4</v>
      </c>
      <c r="J4" s="8">
        <f>(1+J2)/(1+J3)-1</f>
        <v>2.7392156862745098E-2</v>
      </c>
      <c r="K4" s="5"/>
    </row>
    <row r="5" spans="1:11" x14ac:dyDescent="0.35">
      <c r="E5" s="6"/>
      <c r="F5" s="2"/>
      <c r="G5" s="17"/>
      <c r="K5" s="5"/>
    </row>
    <row r="6" spans="1:11" x14ac:dyDescent="0.35">
      <c r="F6" s="2"/>
      <c r="G6" s="17"/>
      <c r="H6" s="17"/>
      <c r="I6" s="21" t="str">
        <f>CONCATENATE("Life Cycle Cost (",C5,"$000's)")</f>
        <v>Life Cycle Cost ($000's)</v>
      </c>
      <c r="J6" s="22">
        <f>$F$56</f>
        <v>61886.957050870886</v>
      </c>
      <c r="K6" s="5"/>
    </row>
    <row r="7" spans="1:11" ht="11.25" customHeight="1" x14ac:dyDescent="0.35">
      <c r="A7" s="14" t="s">
        <v>24</v>
      </c>
      <c r="C7" s="15">
        <v>2019</v>
      </c>
      <c r="D7" s="13">
        <f>12.5*91</f>
        <v>1137.5</v>
      </c>
      <c r="E7" s="10" t="s">
        <v>5</v>
      </c>
      <c r="F7" s="2"/>
      <c r="G7" s="17"/>
      <c r="H7" s="18"/>
      <c r="I7" s="5"/>
      <c r="K7" s="5"/>
    </row>
    <row r="8" spans="1:11" x14ac:dyDescent="0.35">
      <c r="F8" s="2"/>
      <c r="G8" s="19"/>
      <c r="H8" s="5"/>
      <c r="I8" s="21" t="s">
        <v>19</v>
      </c>
      <c r="J8" s="25">
        <f>(J6)/(NPV(REAL_D_RATE,I16:I54)+I15)*1000</f>
        <v>199782.52068133373</v>
      </c>
    </row>
    <row r="9" spans="1:11" x14ac:dyDescent="0.35">
      <c r="A9" s="14" t="s">
        <v>6</v>
      </c>
      <c r="B9" s="2" t="s">
        <v>7</v>
      </c>
      <c r="D9" s="24">
        <v>40</v>
      </c>
      <c r="E9" s="2" t="s">
        <v>8</v>
      </c>
      <c r="F9" s="2"/>
      <c r="G9" s="20"/>
      <c r="H9" s="5"/>
      <c r="I9" s="21" t="s">
        <v>20</v>
      </c>
      <c r="J9" s="25">
        <f>J8*(1+INFL)^(2024-C4)</f>
        <v>220576.04589916757</v>
      </c>
    </row>
    <row r="10" spans="1:11" x14ac:dyDescent="0.35">
      <c r="A10" s="14"/>
      <c r="B10" s="14"/>
      <c r="C10" s="14"/>
      <c r="D10" s="14"/>
      <c r="E10" s="14"/>
      <c r="F10" s="2"/>
      <c r="G10" s="23"/>
      <c r="H10" s="5"/>
    </row>
    <row r="11" spans="1:11" ht="12.75" customHeight="1" x14ac:dyDescent="0.35"/>
    <row r="12" spans="1:11" ht="21.75" customHeight="1" x14ac:dyDescent="0.35">
      <c r="A12" s="47" t="s">
        <v>9</v>
      </c>
      <c r="B12" s="50" t="str">
        <f>$A$1</f>
        <v>12.5 MW Diesel Plant [with property tax]</v>
      </c>
      <c r="C12" s="50"/>
      <c r="D12" s="50"/>
      <c r="E12" s="50"/>
      <c r="F12" s="50"/>
      <c r="G12" s="11"/>
      <c r="H12" s="51" t="s">
        <v>10</v>
      </c>
      <c r="I12" s="51" t="str">
        <f>CONCATENATE("Annual Winter Capacity MW, ",F4)</f>
        <v>Annual Winter Capacity MW, 12.5</v>
      </c>
      <c r="J12" s="5"/>
      <c r="K12" s="26"/>
    </row>
    <row r="13" spans="1:11" ht="21.75" customHeight="1" x14ac:dyDescent="0.35">
      <c r="A13" s="48"/>
      <c r="B13" s="27" t="s">
        <v>11</v>
      </c>
      <c r="C13" s="28" t="s">
        <v>12</v>
      </c>
      <c r="D13" s="28" t="s">
        <v>13</v>
      </c>
      <c r="E13" s="28" t="s">
        <v>14</v>
      </c>
      <c r="F13" s="29" t="s">
        <v>15</v>
      </c>
      <c r="G13" s="11"/>
      <c r="H13" s="51"/>
      <c r="I13" s="51"/>
      <c r="J13" s="5"/>
      <c r="K13" s="26"/>
    </row>
    <row r="14" spans="1:11" ht="16.5" customHeight="1" x14ac:dyDescent="0.35">
      <c r="A14" s="49"/>
      <c r="B14" s="30" t="str">
        <f t="shared" ref="B14:F14" si="0">"$000"</f>
        <v>$000</v>
      </c>
      <c r="C14" s="30" t="str">
        <f t="shared" si="0"/>
        <v>$000</v>
      </c>
      <c r="D14" s="30" t="str">
        <f t="shared" si="0"/>
        <v>$000</v>
      </c>
      <c r="E14" s="30" t="str">
        <f t="shared" si="0"/>
        <v>$000</v>
      </c>
      <c r="F14" s="30" t="str">
        <f t="shared" si="0"/>
        <v>$000</v>
      </c>
      <c r="G14" s="4"/>
      <c r="H14" s="51"/>
      <c r="I14" s="51"/>
      <c r="J14" s="5"/>
      <c r="K14" s="31"/>
    </row>
    <row r="15" spans="1:11" x14ac:dyDescent="0.35">
      <c r="A15" s="32">
        <f>C4</f>
        <v>2019</v>
      </c>
      <c r="B15" s="33">
        <f>$D$4-$C$15</f>
        <v>31687.5</v>
      </c>
      <c r="C15" s="33">
        <f>(($D$4)/$D$9)</f>
        <v>812.5</v>
      </c>
      <c r="D15" s="33">
        <f>(B15+$D$4)/2*WACC</f>
        <v>1538.5743750000001</v>
      </c>
      <c r="E15" s="33">
        <f>(((D$7)*(1+INFL)^($A15-$C$7)))</f>
        <v>1137.5</v>
      </c>
      <c r="F15" s="33">
        <f>SUM(C15:E15)</f>
        <v>3488.5743750000001</v>
      </c>
      <c r="G15" s="4"/>
      <c r="H15" s="34">
        <v>1</v>
      </c>
      <c r="I15" s="35">
        <f>$F$4</f>
        <v>12.5</v>
      </c>
      <c r="J15" s="5"/>
      <c r="K15" s="31"/>
    </row>
    <row r="16" spans="1:11" x14ac:dyDescent="0.35">
      <c r="A16" s="34">
        <f t="shared" ref="A16:A54" si="1">1+A15</f>
        <v>2020</v>
      </c>
      <c r="B16" s="36">
        <f>B15-C15</f>
        <v>30875</v>
      </c>
      <c r="C16" s="36">
        <f t="shared" ref="C16:C54" si="2">IF(ISNUMBER(B16),IF(B16&gt;B15,(B16/$D$9),C15),"")</f>
        <v>812.5</v>
      </c>
      <c r="D16" s="36">
        <f>IF(ISNUMBER(B16),(B16+B15)/2*WACC,"")</f>
        <v>1499.6231250000001</v>
      </c>
      <c r="E16" s="36">
        <f t="shared" ref="E16:E54" si="3">IF(ISNUMBER(B16),E15*(1+J$3),"")</f>
        <v>1160.25</v>
      </c>
      <c r="F16" s="33">
        <f t="shared" ref="F16:F54" si="4">SUM(C16:E16)</f>
        <v>3472.3731250000001</v>
      </c>
      <c r="G16" s="4"/>
      <c r="H16" s="34">
        <f t="shared" ref="H16:H54" si="5">H15+1</f>
        <v>2</v>
      </c>
      <c r="I16" s="35">
        <f t="shared" ref="I16:I54" si="6">IF(ISNUMBER(C16),$F$4,"")</f>
        <v>12.5</v>
      </c>
      <c r="J16" s="5"/>
      <c r="K16" s="31"/>
    </row>
    <row r="17" spans="1:11" x14ac:dyDescent="0.35">
      <c r="A17" s="34">
        <f t="shared" si="1"/>
        <v>2021</v>
      </c>
      <c r="B17" s="36">
        <f>B16-C16</f>
        <v>30062.5</v>
      </c>
      <c r="C17" s="36">
        <f t="shared" si="2"/>
        <v>812.5</v>
      </c>
      <c r="D17" s="36">
        <f t="shared" ref="D17:D40" si="7">IF(ISNUMBER(B17),(B17+B16)/2*WACC,"")</f>
        <v>1460.671875</v>
      </c>
      <c r="E17" s="36">
        <f t="shared" si="3"/>
        <v>1183.4549999999999</v>
      </c>
      <c r="F17" s="33">
        <f t="shared" si="4"/>
        <v>3456.6268749999999</v>
      </c>
      <c r="G17" s="4"/>
      <c r="H17" s="34">
        <f t="shared" si="5"/>
        <v>3</v>
      </c>
      <c r="I17" s="35">
        <f t="shared" si="6"/>
        <v>12.5</v>
      </c>
      <c r="J17" s="5"/>
      <c r="K17" s="31"/>
    </row>
    <row r="18" spans="1:11" x14ac:dyDescent="0.35">
      <c r="A18" s="34">
        <f t="shared" si="1"/>
        <v>2022</v>
      </c>
      <c r="B18" s="36">
        <f t="shared" ref="B18:B54" si="8">B17-C17</f>
        <v>29250</v>
      </c>
      <c r="C18" s="36">
        <f t="shared" si="2"/>
        <v>812.5</v>
      </c>
      <c r="D18" s="36">
        <f t="shared" si="7"/>
        <v>1421.7206250000002</v>
      </c>
      <c r="E18" s="36">
        <f t="shared" si="3"/>
        <v>1207.1241</v>
      </c>
      <c r="F18" s="33">
        <f t="shared" si="4"/>
        <v>3441.3447249999999</v>
      </c>
      <c r="G18" s="4"/>
      <c r="H18" s="34">
        <f t="shared" si="5"/>
        <v>4</v>
      </c>
      <c r="I18" s="35">
        <f t="shared" si="6"/>
        <v>12.5</v>
      </c>
      <c r="J18" s="5"/>
      <c r="K18" s="31"/>
    </row>
    <row r="19" spans="1:11" x14ac:dyDescent="0.35">
      <c r="A19" s="34">
        <f t="shared" si="1"/>
        <v>2023</v>
      </c>
      <c r="B19" s="36">
        <f t="shared" si="8"/>
        <v>28437.5</v>
      </c>
      <c r="C19" s="36">
        <f t="shared" si="2"/>
        <v>812.5</v>
      </c>
      <c r="D19" s="36">
        <f t="shared" si="7"/>
        <v>1382.7693750000001</v>
      </c>
      <c r="E19" s="36">
        <f t="shared" si="3"/>
        <v>1231.266582</v>
      </c>
      <c r="F19" s="33">
        <f t="shared" si="4"/>
        <v>3426.5359570000001</v>
      </c>
      <c r="G19" s="4"/>
      <c r="H19" s="34">
        <f t="shared" si="5"/>
        <v>5</v>
      </c>
      <c r="I19" s="35">
        <f t="shared" si="6"/>
        <v>12.5</v>
      </c>
      <c r="J19" s="5"/>
      <c r="K19" s="31"/>
    </row>
    <row r="20" spans="1:11" x14ac:dyDescent="0.35">
      <c r="A20" s="34">
        <f t="shared" si="1"/>
        <v>2024</v>
      </c>
      <c r="B20" s="36">
        <f t="shared" si="8"/>
        <v>27625</v>
      </c>
      <c r="C20" s="36">
        <f t="shared" si="2"/>
        <v>812.5</v>
      </c>
      <c r="D20" s="36">
        <f t="shared" si="7"/>
        <v>1343.818125</v>
      </c>
      <c r="E20" s="36">
        <f t="shared" si="3"/>
        <v>1255.89191364</v>
      </c>
      <c r="F20" s="33">
        <f t="shared" si="4"/>
        <v>3412.2100386399998</v>
      </c>
      <c r="G20" s="4"/>
      <c r="H20" s="34">
        <f t="shared" si="5"/>
        <v>6</v>
      </c>
      <c r="I20" s="35">
        <f t="shared" si="6"/>
        <v>12.5</v>
      </c>
      <c r="J20" s="5"/>
      <c r="K20" s="31"/>
    </row>
    <row r="21" spans="1:11" x14ac:dyDescent="0.35">
      <c r="A21" s="34">
        <f t="shared" si="1"/>
        <v>2025</v>
      </c>
      <c r="B21" s="36">
        <f t="shared" si="8"/>
        <v>26812.5</v>
      </c>
      <c r="C21" s="36">
        <f t="shared" si="2"/>
        <v>812.5</v>
      </c>
      <c r="D21" s="36">
        <f t="shared" si="7"/>
        <v>1304.8668750000002</v>
      </c>
      <c r="E21" s="36">
        <f t="shared" si="3"/>
        <v>1281.0097519128001</v>
      </c>
      <c r="F21" s="33">
        <f t="shared" si="4"/>
        <v>3398.3766269128</v>
      </c>
      <c r="G21" s="4"/>
      <c r="H21" s="34">
        <f t="shared" si="5"/>
        <v>7</v>
      </c>
      <c r="I21" s="35">
        <f t="shared" si="6"/>
        <v>12.5</v>
      </c>
      <c r="J21" s="5"/>
      <c r="K21" s="31"/>
    </row>
    <row r="22" spans="1:11" x14ac:dyDescent="0.35">
      <c r="A22" s="34">
        <f t="shared" si="1"/>
        <v>2026</v>
      </c>
      <c r="B22" s="36">
        <f t="shared" si="8"/>
        <v>26000</v>
      </c>
      <c r="C22" s="36">
        <f t="shared" si="2"/>
        <v>812.5</v>
      </c>
      <c r="D22" s="36">
        <f t="shared" si="7"/>
        <v>1265.9156250000001</v>
      </c>
      <c r="E22" s="36">
        <f t="shared" si="3"/>
        <v>1306.6299469510561</v>
      </c>
      <c r="F22" s="33">
        <f t="shared" si="4"/>
        <v>3385.0455719510564</v>
      </c>
      <c r="G22" s="4"/>
      <c r="H22" s="34">
        <f t="shared" si="5"/>
        <v>8</v>
      </c>
      <c r="I22" s="35">
        <f t="shared" si="6"/>
        <v>12.5</v>
      </c>
      <c r="J22" s="5"/>
      <c r="K22" s="31"/>
    </row>
    <row r="23" spans="1:11" x14ac:dyDescent="0.35">
      <c r="A23" s="34">
        <f t="shared" si="1"/>
        <v>2027</v>
      </c>
      <c r="B23" s="36">
        <f t="shared" si="8"/>
        <v>25187.5</v>
      </c>
      <c r="C23" s="36">
        <f t="shared" si="2"/>
        <v>812.5</v>
      </c>
      <c r="D23" s="36">
        <f t="shared" si="7"/>
        <v>1226.964375</v>
      </c>
      <c r="E23" s="36">
        <f t="shared" si="3"/>
        <v>1332.7625458900773</v>
      </c>
      <c r="F23" s="33">
        <f t="shared" si="4"/>
        <v>3372.2269208900771</v>
      </c>
      <c r="G23" s="4"/>
      <c r="H23" s="34">
        <f t="shared" si="5"/>
        <v>9</v>
      </c>
      <c r="I23" s="35">
        <f t="shared" si="6"/>
        <v>12.5</v>
      </c>
      <c r="J23" s="5"/>
      <c r="K23" s="31"/>
    </row>
    <row r="24" spans="1:11" x14ac:dyDescent="0.35">
      <c r="A24" s="34">
        <f t="shared" si="1"/>
        <v>2028</v>
      </c>
      <c r="B24" s="36">
        <f t="shared" si="8"/>
        <v>24375</v>
      </c>
      <c r="C24" s="36">
        <f t="shared" si="2"/>
        <v>812.5</v>
      </c>
      <c r="D24" s="36">
        <f t="shared" si="7"/>
        <v>1188.0131250000002</v>
      </c>
      <c r="E24" s="36">
        <f t="shared" si="3"/>
        <v>1359.4177968078789</v>
      </c>
      <c r="F24" s="33">
        <f t="shared" si="4"/>
        <v>3359.9309218078788</v>
      </c>
      <c r="G24" s="4"/>
      <c r="H24" s="34">
        <f t="shared" si="5"/>
        <v>10</v>
      </c>
      <c r="I24" s="35">
        <f t="shared" si="6"/>
        <v>12.5</v>
      </c>
      <c r="J24" s="5"/>
      <c r="K24" s="5"/>
    </row>
    <row r="25" spans="1:11" x14ac:dyDescent="0.35">
      <c r="A25" s="34">
        <f t="shared" si="1"/>
        <v>2029</v>
      </c>
      <c r="B25" s="36">
        <f t="shared" si="8"/>
        <v>23562.5</v>
      </c>
      <c r="C25" s="36">
        <f t="shared" si="2"/>
        <v>812.5</v>
      </c>
      <c r="D25" s="36">
        <f t="shared" si="7"/>
        <v>1149.0618750000001</v>
      </c>
      <c r="E25" s="36">
        <f t="shared" si="3"/>
        <v>1386.6061527440365</v>
      </c>
      <c r="F25" s="33">
        <f t="shared" si="4"/>
        <v>3348.1680277440364</v>
      </c>
      <c r="G25" s="4"/>
      <c r="H25" s="34">
        <f t="shared" si="5"/>
        <v>11</v>
      </c>
      <c r="I25" s="35">
        <f t="shared" si="6"/>
        <v>12.5</v>
      </c>
      <c r="J25" s="5"/>
      <c r="K25" s="5"/>
    </row>
    <row r="26" spans="1:11" x14ac:dyDescent="0.35">
      <c r="A26" s="34">
        <f t="shared" si="1"/>
        <v>2030</v>
      </c>
      <c r="B26" s="36">
        <f t="shared" si="8"/>
        <v>22750</v>
      </c>
      <c r="C26" s="36">
        <f t="shared" si="2"/>
        <v>812.5</v>
      </c>
      <c r="D26" s="36">
        <f t="shared" si="7"/>
        <v>1110.110625</v>
      </c>
      <c r="E26" s="36">
        <f t="shared" si="3"/>
        <v>1414.3382757989173</v>
      </c>
      <c r="F26" s="33">
        <f t="shared" si="4"/>
        <v>3336.9489007989173</v>
      </c>
      <c r="G26" s="4"/>
      <c r="H26" s="34">
        <f t="shared" si="5"/>
        <v>12</v>
      </c>
      <c r="I26" s="35">
        <f t="shared" si="6"/>
        <v>12.5</v>
      </c>
      <c r="J26" s="5"/>
      <c r="K26" s="5"/>
    </row>
    <row r="27" spans="1:11" x14ac:dyDescent="0.35">
      <c r="A27" s="34">
        <f t="shared" si="1"/>
        <v>2031</v>
      </c>
      <c r="B27" s="36">
        <f t="shared" si="8"/>
        <v>21937.5</v>
      </c>
      <c r="C27" s="36">
        <f t="shared" si="2"/>
        <v>812.5</v>
      </c>
      <c r="D27" s="36">
        <f t="shared" si="7"/>
        <v>1071.1593750000002</v>
      </c>
      <c r="E27" s="36">
        <f t="shared" si="3"/>
        <v>1442.6250413148957</v>
      </c>
      <c r="F27" s="33">
        <f t="shared" si="4"/>
        <v>3326.2844163148957</v>
      </c>
      <c r="G27" s="4"/>
      <c r="H27" s="34">
        <f t="shared" si="5"/>
        <v>13</v>
      </c>
      <c r="I27" s="35">
        <f t="shared" si="6"/>
        <v>12.5</v>
      </c>
      <c r="J27" s="5"/>
      <c r="K27" s="5"/>
    </row>
    <row r="28" spans="1:11" x14ac:dyDescent="0.35">
      <c r="A28" s="34">
        <f t="shared" si="1"/>
        <v>2032</v>
      </c>
      <c r="B28" s="36">
        <f t="shared" si="8"/>
        <v>21125</v>
      </c>
      <c r="C28" s="36">
        <f t="shared" si="2"/>
        <v>812.5</v>
      </c>
      <c r="D28" s="36">
        <f t="shared" si="7"/>
        <v>1032.2081250000001</v>
      </c>
      <c r="E28" s="36">
        <f t="shared" si="3"/>
        <v>1471.4775421411937</v>
      </c>
      <c r="F28" s="33">
        <f t="shared" si="4"/>
        <v>3316.1856671411938</v>
      </c>
      <c r="G28" s="4"/>
      <c r="H28" s="34">
        <f t="shared" si="5"/>
        <v>14</v>
      </c>
      <c r="I28" s="35">
        <f t="shared" si="6"/>
        <v>12.5</v>
      </c>
      <c r="J28" s="5"/>
      <c r="K28" s="5"/>
    </row>
    <row r="29" spans="1:11" x14ac:dyDescent="0.35">
      <c r="A29" s="34">
        <f t="shared" si="1"/>
        <v>2033</v>
      </c>
      <c r="B29" s="36">
        <f t="shared" si="8"/>
        <v>20312.5</v>
      </c>
      <c r="C29" s="36">
        <f t="shared" si="2"/>
        <v>812.5</v>
      </c>
      <c r="D29" s="36">
        <f t="shared" si="7"/>
        <v>993.25687500000004</v>
      </c>
      <c r="E29" s="36">
        <f t="shared" si="3"/>
        <v>1500.9070929840175</v>
      </c>
      <c r="F29" s="33">
        <f t="shared" si="4"/>
        <v>3306.6639679840173</v>
      </c>
      <c r="G29" s="4"/>
      <c r="H29" s="34">
        <f t="shared" si="5"/>
        <v>15</v>
      </c>
      <c r="I29" s="35">
        <f t="shared" si="6"/>
        <v>12.5</v>
      </c>
      <c r="J29" s="5"/>
      <c r="K29" s="5"/>
    </row>
    <row r="30" spans="1:11" x14ac:dyDescent="0.35">
      <c r="A30" s="34">
        <f t="shared" si="1"/>
        <v>2034</v>
      </c>
      <c r="B30" s="36">
        <f t="shared" si="8"/>
        <v>19500</v>
      </c>
      <c r="C30" s="36">
        <f t="shared" si="2"/>
        <v>812.5</v>
      </c>
      <c r="D30" s="36">
        <f t="shared" si="7"/>
        <v>954.30562500000008</v>
      </c>
      <c r="E30" s="36">
        <f t="shared" si="3"/>
        <v>1530.9252348436978</v>
      </c>
      <c r="F30" s="33">
        <f t="shared" si="4"/>
        <v>3297.7308598436975</v>
      </c>
      <c r="G30" s="4"/>
      <c r="H30" s="34">
        <f t="shared" si="5"/>
        <v>16</v>
      </c>
      <c r="I30" s="35">
        <f t="shared" si="6"/>
        <v>12.5</v>
      </c>
      <c r="J30" s="5"/>
      <c r="K30" s="5"/>
    </row>
    <row r="31" spans="1:11" x14ac:dyDescent="0.35">
      <c r="A31" s="34">
        <f t="shared" si="1"/>
        <v>2035</v>
      </c>
      <c r="B31" s="36">
        <f t="shared" si="8"/>
        <v>18687.5</v>
      </c>
      <c r="C31" s="36">
        <f t="shared" si="2"/>
        <v>812.5</v>
      </c>
      <c r="D31" s="36">
        <f t="shared" si="7"/>
        <v>915.35437500000012</v>
      </c>
      <c r="E31" s="36">
        <f t="shared" si="3"/>
        <v>1561.5437395405718</v>
      </c>
      <c r="F31" s="33">
        <f t="shared" si="4"/>
        <v>3289.3981145405719</v>
      </c>
      <c r="G31" s="4"/>
      <c r="H31" s="34">
        <f t="shared" si="5"/>
        <v>17</v>
      </c>
      <c r="I31" s="35">
        <f t="shared" si="6"/>
        <v>12.5</v>
      </c>
      <c r="J31" s="5"/>
      <c r="K31" s="5"/>
    </row>
    <row r="32" spans="1:11" x14ac:dyDescent="0.35">
      <c r="A32" s="34">
        <f t="shared" si="1"/>
        <v>2036</v>
      </c>
      <c r="B32" s="36">
        <f t="shared" si="8"/>
        <v>17875</v>
      </c>
      <c r="C32" s="36">
        <f t="shared" si="2"/>
        <v>812.5</v>
      </c>
      <c r="D32" s="36">
        <f t="shared" si="7"/>
        <v>876.40312500000005</v>
      </c>
      <c r="E32" s="36">
        <f t="shared" si="3"/>
        <v>1592.7746143313832</v>
      </c>
      <c r="F32" s="33">
        <f t="shared" si="4"/>
        <v>3281.6777393313832</v>
      </c>
      <c r="G32" s="4"/>
      <c r="H32" s="34">
        <f t="shared" si="5"/>
        <v>18</v>
      </c>
      <c r="I32" s="35">
        <f t="shared" si="6"/>
        <v>12.5</v>
      </c>
      <c r="J32" s="5"/>
      <c r="K32" s="5"/>
    </row>
    <row r="33" spans="1:11" x14ac:dyDescent="0.35">
      <c r="A33" s="34">
        <f t="shared" si="1"/>
        <v>2037</v>
      </c>
      <c r="B33" s="36">
        <f t="shared" si="8"/>
        <v>17062.5</v>
      </c>
      <c r="C33" s="36">
        <f t="shared" si="2"/>
        <v>812.5</v>
      </c>
      <c r="D33" s="36">
        <f t="shared" si="7"/>
        <v>837.45187500000009</v>
      </c>
      <c r="E33" s="36">
        <f t="shared" si="3"/>
        <v>1624.6301066180108</v>
      </c>
      <c r="F33" s="33">
        <f t="shared" si="4"/>
        <v>3274.581981618011</v>
      </c>
      <c r="G33" s="4"/>
      <c r="H33" s="34">
        <f t="shared" si="5"/>
        <v>19</v>
      </c>
      <c r="I33" s="35">
        <f t="shared" si="6"/>
        <v>12.5</v>
      </c>
      <c r="J33" s="5"/>
      <c r="K33" s="5"/>
    </row>
    <row r="34" spans="1:11" x14ac:dyDescent="0.35">
      <c r="A34" s="34">
        <f t="shared" si="1"/>
        <v>2038</v>
      </c>
      <c r="B34" s="36">
        <f t="shared" si="8"/>
        <v>16250</v>
      </c>
      <c r="C34" s="36">
        <f t="shared" si="2"/>
        <v>812.5</v>
      </c>
      <c r="D34" s="36">
        <f t="shared" si="7"/>
        <v>798.50062500000001</v>
      </c>
      <c r="E34" s="36">
        <f t="shared" si="3"/>
        <v>1657.122708750371</v>
      </c>
      <c r="F34" s="33">
        <f t="shared" si="4"/>
        <v>3268.1233337503709</v>
      </c>
      <c r="G34" s="4"/>
      <c r="H34" s="34">
        <f t="shared" si="5"/>
        <v>20</v>
      </c>
      <c r="I34" s="35">
        <f t="shared" si="6"/>
        <v>12.5</v>
      </c>
      <c r="J34" s="5"/>
      <c r="K34" s="5"/>
    </row>
    <row r="35" spans="1:11" x14ac:dyDescent="0.35">
      <c r="A35" s="34">
        <f t="shared" si="1"/>
        <v>2039</v>
      </c>
      <c r="B35" s="36">
        <f t="shared" si="8"/>
        <v>15437.5</v>
      </c>
      <c r="C35" s="36">
        <f t="shared" si="2"/>
        <v>812.5</v>
      </c>
      <c r="D35" s="36">
        <f t="shared" si="7"/>
        <v>759.54937500000005</v>
      </c>
      <c r="E35" s="36">
        <f t="shared" si="3"/>
        <v>1690.2651629253785</v>
      </c>
      <c r="F35" s="33">
        <f t="shared" si="4"/>
        <v>3262.3145379253783</v>
      </c>
      <c r="G35" s="4"/>
      <c r="H35" s="34">
        <f t="shared" si="5"/>
        <v>21</v>
      </c>
      <c r="I35" s="35">
        <f t="shared" si="6"/>
        <v>12.5</v>
      </c>
      <c r="J35" s="5"/>
      <c r="K35" s="5"/>
    </row>
    <row r="36" spans="1:11" x14ac:dyDescent="0.35">
      <c r="A36" s="34">
        <f t="shared" si="1"/>
        <v>2040</v>
      </c>
      <c r="B36" s="36">
        <f t="shared" si="8"/>
        <v>14625</v>
      </c>
      <c r="C36" s="36">
        <f t="shared" si="2"/>
        <v>812.5</v>
      </c>
      <c r="D36" s="36">
        <f t="shared" si="7"/>
        <v>720.5981250000001</v>
      </c>
      <c r="E36" s="36">
        <f t="shared" si="3"/>
        <v>1724.0704661838861</v>
      </c>
      <c r="F36" s="33">
        <f t="shared" si="4"/>
        <v>3257.1685911838858</v>
      </c>
      <c r="G36" s="4"/>
      <c r="H36" s="34">
        <f t="shared" si="5"/>
        <v>22</v>
      </c>
      <c r="I36" s="35">
        <f t="shared" si="6"/>
        <v>12.5</v>
      </c>
      <c r="J36" s="5"/>
      <c r="K36" s="5"/>
    </row>
    <row r="37" spans="1:11" x14ac:dyDescent="0.35">
      <c r="A37" s="34">
        <f t="shared" si="1"/>
        <v>2041</v>
      </c>
      <c r="B37" s="36">
        <f t="shared" si="8"/>
        <v>13812.5</v>
      </c>
      <c r="C37" s="36">
        <f t="shared" si="2"/>
        <v>812.5</v>
      </c>
      <c r="D37" s="36">
        <f t="shared" si="7"/>
        <v>681.64687500000002</v>
      </c>
      <c r="E37" s="36">
        <f t="shared" si="3"/>
        <v>1758.5518755075639</v>
      </c>
      <c r="F37" s="33">
        <f t="shared" si="4"/>
        <v>3252.698750507564</v>
      </c>
      <c r="G37" s="4"/>
      <c r="H37" s="34">
        <f t="shared" si="5"/>
        <v>23</v>
      </c>
      <c r="I37" s="35">
        <f t="shared" si="6"/>
        <v>12.5</v>
      </c>
      <c r="J37" s="5"/>
      <c r="K37" s="5"/>
    </row>
    <row r="38" spans="1:11" x14ac:dyDescent="0.35">
      <c r="A38" s="34">
        <f t="shared" si="1"/>
        <v>2042</v>
      </c>
      <c r="B38" s="36">
        <f t="shared" si="8"/>
        <v>13000</v>
      </c>
      <c r="C38" s="36">
        <f t="shared" si="2"/>
        <v>812.5</v>
      </c>
      <c r="D38" s="36">
        <f t="shared" si="7"/>
        <v>642.69562500000006</v>
      </c>
      <c r="E38" s="36">
        <f t="shared" si="3"/>
        <v>1793.7229130177152</v>
      </c>
      <c r="F38" s="33">
        <f t="shared" si="4"/>
        <v>3248.918538017715</v>
      </c>
      <c r="G38" s="4"/>
      <c r="H38" s="34">
        <f t="shared" si="5"/>
        <v>24</v>
      </c>
      <c r="I38" s="35">
        <f t="shared" si="6"/>
        <v>12.5</v>
      </c>
      <c r="J38" s="5"/>
      <c r="K38" s="5"/>
    </row>
    <row r="39" spans="1:11" x14ac:dyDescent="0.35">
      <c r="A39" s="34">
        <f t="shared" si="1"/>
        <v>2043</v>
      </c>
      <c r="B39" s="36">
        <f t="shared" si="8"/>
        <v>12187.5</v>
      </c>
      <c r="C39" s="36">
        <f t="shared" si="2"/>
        <v>812.5</v>
      </c>
      <c r="D39" s="36">
        <f t="shared" si="7"/>
        <v>603.74437499999999</v>
      </c>
      <c r="E39" s="36">
        <f t="shared" si="3"/>
        <v>1829.5973712780694</v>
      </c>
      <c r="F39" s="33">
        <f t="shared" si="4"/>
        <v>3245.8417462780694</v>
      </c>
      <c r="G39" s="4"/>
      <c r="H39" s="34">
        <f t="shared" si="5"/>
        <v>25</v>
      </c>
      <c r="I39" s="35">
        <f t="shared" si="6"/>
        <v>12.5</v>
      </c>
      <c r="J39" s="5"/>
      <c r="K39" s="5"/>
    </row>
    <row r="40" spans="1:11" x14ac:dyDescent="0.35">
      <c r="A40" s="34">
        <f t="shared" si="1"/>
        <v>2044</v>
      </c>
      <c r="B40" s="36">
        <f t="shared" si="8"/>
        <v>11375</v>
      </c>
      <c r="C40" s="36">
        <f t="shared" si="2"/>
        <v>812.5</v>
      </c>
      <c r="D40" s="36">
        <f t="shared" si="7"/>
        <v>564.79312500000003</v>
      </c>
      <c r="E40" s="36">
        <f t="shared" si="3"/>
        <v>1866.1893187036308</v>
      </c>
      <c r="F40" s="33">
        <f t="shared" si="4"/>
        <v>3243.4824437036309</v>
      </c>
      <c r="G40" s="4"/>
      <c r="H40" s="34">
        <f t="shared" si="5"/>
        <v>26</v>
      </c>
      <c r="I40" s="35">
        <f t="shared" si="6"/>
        <v>12.5</v>
      </c>
      <c r="J40" s="5"/>
      <c r="K40" s="5"/>
    </row>
    <row r="41" spans="1:11" x14ac:dyDescent="0.35">
      <c r="A41" s="34">
        <f t="shared" si="1"/>
        <v>2045</v>
      </c>
      <c r="B41" s="36">
        <f t="shared" si="8"/>
        <v>10562.5</v>
      </c>
      <c r="C41" s="36">
        <f t="shared" si="2"/>
        <v>812.5</v>
      </c>
      <c r="D41" s="36">
        <f t="shared" ref="D41:D54" si="9">IF(ISNUMBER(B41),(B41+B40)/2*WACC,"")</f>
        <v>525.84187500000007</v>
      </c>
      <c r="E41" s="36">
        <f t="shared" si="3"/>
        <v>1903.5131050777034</v>
      </c>
      <c r="F41" s="33">
        <f t="shared" si="4"/>
        <v>3241.8549800777037</v>
      </c>
      <c r="G41" s="4"/>
      <c r="H41" s="34">
        <f t="shared" si="5"/>
        <v>27</v>
      </c>
      <c r="I41" s="35">
        <f t="shared" si="6"/>
        <v>12.5</v>
      </c>
      <c r="J41" s="5"/>
      <c r="K41" s="5"/>
    </row>
    <row r="42" spans="1:11" x14ac:dyDescent="0.35">
      <c r="A42" s="34">
        <f t="shared" si="1"/>
        <v>2046</v>
      </c>
      <c r="B42" s="36">
        <f t="shared" si="8"/>
        <v>9750</v>
      </c>
      <c r="C42" s="36">
        <f t="shared" si="2"/>
        <v>812.5</v>
      </c>
      <c r="D42" s="36">
        <f t="shared" si="9"/>
        <v>486.89062500000006</v>
      </c>
      <c r="E42" s="36">
        <f t="shared" si="3"/>
        <v>1941.5833671792575</v>
      </c>
      <c r="F42" s="33">
        <f t="shared" si="4"/>
        <v>3240.9739921792575</v>
      </c>
      <c r="G42" s="4"/>
      <c r="H42" s="34">
        <f t="shared" si="5"/>
        <v>28</v>
      </c>
      <c r="I42" s="35">
        <f t="shared" si="6"/>
        <v>12.5</v>
      </c>
      <c r="J42" s="5"/>
      <c r="K42" s="5"/>
    </row>
    <row r="43" spans="1:11" x14ac:dyDescent="0.35">
      <c r="A43" s="34">
        <f t="shared" si="1"/>
        <v>2047</v>
      </c>
      <c r="B43" s="36">
        <f t="shared" si="8"/>
        <v>8937.5</v>
      </c>
      <c r="C43" s="36">
        <f t="shared" si="2"/>
        <v>812.5</v>
      </c>
      <c r="D43" s="36">
        <f t="shared" si="9"/>
        <v>447.93937500000004</v>
      </c>
      <c r="E43" s="36">
        <f t="shared" si="3"/>
        <v>1980.4150345228427</v>
      </c>
      <c r="F43" s="33">
        <f t="shared" si="4"/>
        <v>3240.8544095228426</v>
      </c>
      <c r="G43" s="4"/>
      <c r="H43" s="34">
        <f t="shared" si="5"/>
        <v>29</v>
      </c>
      <c r="I43" s="35">
        <f t="shared" si="6"/>
        <v>12.5</v>
      </c>
      <c r="J43" s="5"/>
      <c r="K43" s="5"/>
    </row>
    <row r="44" spans="1:11" x14ac:dyDescent="0.35">
      <c r="A44" s="34">
        <f t="shared" si="1"/>
        <v>2048</v>
      </c>
      <c r="B44" s="36">
        <f t="shared" si="8"/>
        <v>8125</v>
      </c>
      <c r="C44" s="36">
        <f t="shared" si="2"/>
        <v>812.5</v>
      </c>
      <c r="D44" s="36">
        <f t="shared" si="9"/>
        <v>408.98812500000003</v>
      </c>
      <c r="E44" s="36">
        <f t="shared" si="3"/>
        <v>2020.0233352132996</v>
      </c>
      <c r="F44" s="33">
        <f t="shared" si="4"/>
        <v>3241.5114602132999</v>
      </c>
      <c r="G44" s="4"/>
      <c r="H44" s="34">
        <f t="shared" si="5"/>
        <v>30</v>
      </c>
      <c r="I44" s="35">
        <f t="shared" si="6"/>
        <v>12.5</v>
      </c>
      <c r="J44" s="5"/>
      <c r="K44" s="5"/>
    </row>
    <row r="45" spans="1:11" x14ac:dyDescent="0.35">
      <c r="A45" s="34">
        <f t="shared" si="1"/>
        <v>2049</v>
      </c>
      <c r="B45" s="36">
        <f t="shared" si="8"/>
        <v>7312.5</v>
      </c>
      <c r="C45" s="36">
        <f t="shared" si="2"/>
        <v>812.5</v>
      </c>
      <c r="D45" s="36">
        <f t="shared" si="9"/>
        <v>370.03687500000001</v>
      </c>
      <c r="E45" s="36">
        <f t="shared" si="3"/>
        <v>2060.4238019175655</v>
      </c>
      <c r="F45" s="33">
        <f t="shared" si="4"/>
        <v>3242.9606769175653</v>
      </c>
      <c r="G45" s="4"/>
      <c r="H45" s="34">
        <f t="shared" si="5"/>
        <v>31</v>
      </c>
      <c r="I45" s="35">
        <f t="shared" si="6"/>
        <v>12.5</v>
      </c>
      <c r="J45" s="5"/>
      <c r="K45" s="5"/>
    </row>
    <row r="46" spans="1:11" x14ac:dyDescent="0.35">
      <c r="A46" s="34">
        <f t="shared" si="1"/>
        <v>2050</v>
      </c>
      <c r="B46" s="36">
        <f t="shared" si="8"/>
        <v>6500</v>
      </c>
      <c r="C46" s="36">
        <f t="shared" si="2"/>
        <v>812.5</v>
      </c>
      <c r="D46" s="36">
        <f t="shared" si="9"/>
        <v>331.08562500000005</v>
      </c>
      <c r="E46" s="36">
        <f t="shared" si="3"/>
        <v>2101.6322779559168</v>
      </c>
      <c r="F46" s="33">
        <f t="shared" si="4"/>
        <v>3245.217902955917</v>
      </c>
      <c r="G46" s="4"/>
      <c r="H46" s="34">
        <f t="shared" si="5"/>
        <v>32</v>
      </c>
      <c r="I46" s="35">
        <f t="shared" si="6"/>
        <v>12.5</v>
      </c>
      <c r="J46" s="5"/>
      <c r="K46" s="5"/>
    </row>
    <row r="47" spans="1:11" x14ac:dyDescent="0.35">
      <c r="A47" s="34">
        <f t="shared" si="1"/>
        <v>2051</v>
      </c>
      <c r="B47" s="36">
        <f t="shared" si="8"/>
        <v>5687.5</v>
      </c>
      <c r="C47" s="36">
        <f t="shared" si="2"/>
        <v>812.5</v>
      </c>
      <c r="D47" s="36">
        <f t="shared" si="9"/>
        <v>292.13437500000003</v>
      </c>
      <c r="E47" s="36">
        <f t="shared" si="3"/>
        <v>2143.6649235150353</v>
      </c>
      <c r="F47" s="33">
        <f t="shared" si="4"/>
        <v>3248.2992985150354</v>
      </c>
      <c r="G47" s="4"/>
      <c r="H47" s="34">
        <f t="shared" si="5"/>
        <v>33</v>
      </c>
      <c r="I47" s="35">
        <f t="shared" si="6"/>
        <v>12.5</v>
      </c>
      <c r="J47" s="5"/>
      <c r="K47" s="5"/>
    </row>
    <row r="48" spans="1:11" x14ac:dyDescent="0.35">
      <c r="A48" s="34">
        <f t="shared" si="1"/>
        <v>2052</v>
      </c>
      <c r="B48" s="36">
        <f t="shared" si="8"/>
        <v>4875</v>
      </c>
      <c r="C48" s="36">
        <f t="shared" si="2"/>
        <v>812.5</v>
      </c>
      <c r="D48" s="36">
        <f t="shared" si="9"/>
        <v>253.18312500000002</v>
      </c>
      <c r="E48" s="36">
        <f t="shared" si="3"/>
        <v>2186.5382219853359</v>
      </c>
      <c r="F48" s="33">
        <f t="shared" si="4"/>
        <v>3252.2213469853359</v>
      </c>
      <c r="G48" s="4"/>
      <c r="H48" s="34">
        <f t="shared" si="5"/>
        <v>34</v>
      </c>
      <c r="I48" s="35">
        <f t="shared" si="6"/>
        <v>12.5</v>
      </c>
      <c r="J48" s="5"/>
      <c r="K48" s="5"/>
    </row>
    <row r="49" spans="1:21" x14ac:dyDescent="0.35">
      <c r="A49" s="34">
        <f t="shared" si="1"/>
        <v>2053</v>
      </c>
      <c r="B49" s="36">
        <f t="shared" si="8"/>
        <v>4062.5</v>
      </c>
      <c r="C49" s="36">
        <f t="shared" si="2"/>
        <v>812.5</v>
      </c>
      <c r="D49" s="36">
        <f t="shared" si="9"/>
        <v>214.231875</v>
      </c>
      <c r="E49" s="36">
        <f t="shared" si="3"/>
        <v>2230.2689864250428</v>
      </c>
      <c r="F49" s="33">
        <f t="shared" si="4"/>
        <v>3257.0008614250428</v>
      </c>
      <c r="G49" s="4"/>
      <c r="H49" s="34">
        <f t="shared" si="5"/>
        <v>35</v>
      </c>
      <c r="I49" s="35">
        <f t="shared" si="6"/>
        <v>12.5</v>
      </c>
      <c r="J49" s="5"/>
      <c r="K49" s="5"/>
    </row>
    <row r="50" spans="1:21" x14ac:dyDescent="0.35">
      <c r="A50" s="34">
        <f t="shared" si="1"/>
        <v>2054</v>
      </c>
      <c r="B50" s="36">
        <f t="shared" si="8"/>
        <v>3250</v>
      </c>
      <c r="C50" s="36">
        <f t="shared" si="2"/>
        <v>812.5</v>
      </c>
      <c r="D50" s="36">
        <f t="shared" si="9"/>
        <v>175.28062500000001</v>
      </c>
      <c r="E50" s="36">
        <f t="shared" si="3"/>
        <v>2274.8743661535436</v>
      </c>
      <c r="F50" s="33">
        <f t="shared" si="4"/>
        <v>3262.6549911535435</v>
      </c>
      <c r="G50" s="4"/>
      <c r="H50" s="34">
        <f t="shared" si="5"/>
        <v>36</v>
      </c>
      <c r="I50" s="35">
        <f t="shared" si="6"/>
        <v>12.5</v>
      </c>
      <c r="J50" s="5"/>
      <c r="K50" s="5"/>
    </row>
    <row r="51" spans="1:21" x14ac:dyDescent="0.35">
      <c r="A51" s="34">
        <f t="shared" si="1"/>
        <v>2055</v>
      </c>
      <c r="B51" s="36">
        <f t="shared" si="8"/>
        <v>2437.5</v>
      </c>
      <c r="C51" s="36">
        <f t="shared" si="2"/>
        <v>812.5</v>
      </c>
      <c r="D51" s="36">
        <f t="shared" si="9"/>
        <v>136.329375</v>
      </c>
      <c r="E51" s="36">
        <f t="shared" si="3"/>
        <v>2320.3718534766144</v>
      </c>
      <c r="F51" s="33">
        <f t="shared" si="4"/>
        <v>3269.2012284766142</v>
      </c>
      <c r="G51" s="4"/>
      <c r="H51" s="34">
        <f t="shared" si="5"/>
        <v>37</v>
      </c>
      <c r="I51" s="35">
        <f t="shared" si="6"/>
        <v>12.5</v>
      </c>
      <c r="J51" s="5"/>
      <c r="K51" s="5"/>
    </row>
    <row r="52" spans="1:21" x14ac:dyDescent="0.35">
      <c r="A52" s="34">
        <f t="shared" si="1"/>
        <v>2056</v>
      </c>
      <c r="B52" s="36">
        <f t="shared" si="8"/>
        <v>1625</v>
      </c>
      <c r="C52" s="36">
        <f t="shared" si="2"/>
        <v>812.5</v>
      </c>
      <c r="D52" s="36">
        <f t="shared" si="9"/>
        <v>97.378125000000011</v>
      </c>
      <c r="E52" s="36">
        <f t="shared" si="3"/>
        <v>2366.779290546147</v>
      </c>
      <c r="F52" s="33">
        <f t="shared" si="4"/>
        <v>3276.6574155461467</v>
      </c>
      <c r="G52" s="4"/>
      <c r="H52" s="34">
        <f t="shared" si="5"/>
        <v>38</v>
      </c>
      <c r="I52" s="35">
        <f t="shared" si="6"/>
        <v>12.5</v>
      </c>
      <c r="J52" s="5"/>
      <c r="K52" s="5"/>
    </row>
    <row r="53" spans="1:21" x14ac:dyDescent="0.35">
      <c r="A53" s="34">
        <f t="shared" si="1"/>
        <v>2057</v>
      </c>
      <c r="B53" s="36">
        <f t="shared" si="8"/>
        <v>812.5</v>
      </c>
      <c r="C53" s="36">
        <f t="shared" si="2"/>
        <v>812.5</v>
      </c>
      <c r="D53" s="36">
        <f t="shared" si="9"/>
        <v>58.426875000000003</v>
      </c>
      <c r="E53" s="36">
        <f t="shared" si="3"/>
        <v>2414.11487635707</v>
      </c>
      <c r="F53" s="33">
        <f t="shared" si="4"/>
        <v>3285.0417513570701</v>
      </c>
      <c r="G53" s="4"/>
      <c r="H53" s="34">
        <f t="shared" si="5"/>
        <v>39</v>
      </c>
      <c r="I53" s="35">
        <f t="shared" si="6"/>
        <v>12.5</v>
      </c>
      <c r="J53" s="5"/>
      <c r="K53" s="5"/>
    </row>
    <row r="54" spans="1:21" x14ac:dyDescent="0.35">
      <c r="A54" s="34">
        <f t="shared" si="1"/>
        <v>2058</v>
      </c>
      <c r="B54" s="36">
        <f t="shared" si="8"/>
        <v>0</v>
      </c>
      <c r="C54" s="36">
        <f t="shared" si="2"/>
        <v>812.5</v>
      </c>
      <c r="D54" s="36">
        <f t="shared" si="9"/>
        <v>19.475625000000001</v>
      </c>
      <c r="E54" s="36">
        <f t="shared" si="3"/>
        <v>2462.3971738842115</v>
      </c>
      <c r="F54" s="33">
        <f t="shared" si="4"/>
        <v>3294.3727988842115</v>
      </c>
      <c r="G54" s="4"/>
      <c r="H54" s="34">
        <f t="shared" si="5"/>
        <v>40</v>
      </c>
      <c r="I54" s="35">
        <f t="shared" si="6"/>
        <v>12.5</v>
      </c>
      <c r="J54" s="5"/>
      <c r="K54" s="5"/>
    </row>
    <row r="55" spans="1:21" ht="12" customHeight="1" x14ac:dyDescent="0.35">
      <c r="A55" s="37"/>
      <c r="B55" s="38"/>
      <c r="C55" s="38"/>
      <c r="D55" s="38"/>
      <c r="E55" s="38"/>
      <c r="F55" s="38"/>
      <c r="G55" s="19"/>
      <c r="H55" s="39"/>
      <c r="J55" s="40"/>
    </row>
    <row r="56" spans="1:21" ht="12" customHeight="1" x14ac:dyDescent="0.35">
      <c r="A56" s="37" t="s">
        <v>21</v>
      </c>
      <c r="B56" s="38"/>
      <c r="C56" s="38">
        <f>NPV(WACC,C16:C54)+C15</f>
        <v>15031.759167422182</v>
      </c>
      <c r="D56" s="38">
        <f>NPV(WACC,D16:D54)+D15</f>
        <v>18665.979565334685</v>
      </c>
      <c r="E56" s="38">
        <f>NPV(WACC,E16:E54)+E15</f>
        <v>28189.218318114024</v>
      </c>
      <c r="F56" s="38">
        <f>NPV(WACC,F16:F54)+F15</f>
        <v>61886.957050870886</v>
      </c>
      <c r="G56" s="19"/>
      <c r="H56" s="42"/>
      <c r="J56" s="4"/>
      <c r="K56" s="4"/>
    </row>
    <row r="57" spans="1:21" s="2" customFormat="1" x14ac:dyDescent="0.35">
      <c r="A57" s="43"/>
      <c r="B57" s="41"/>
      <c r="C57" s="41"/>
      <c r="F57" s="4"/>
      <c r="M57" s="5"/>
      <c r="N57" s="5"/>
      <c r="O57" s="5"/>
      <c r="P57" s="5"/>
      <c r="Q57" s="5"/>
      <c r="R57" s="5"/>
      <c r="S57" s="5"/>
      <c r="T57" s="5"/>
      <c r="U57" s="5"/>
    </row>
    <row r="58" spans="1:21" s="2" customFormat="1" x14ac:dyDescent="0.35">
      <c r="A58" s="43"/>
      <c r="B58" s="17"/>
      <c r="C58" s="44"/>
      <c r="D58" s="19"/>
      <c r="F58" s="4"/>
      <c r="M58" s="5"/>
      <c r="N58" s="5"/>
      <c r="O58" s="5"/>
      <c r="P58" s="5"/>
      <c r="Q58" s="5"/>
      <c r="R58" s="5"/>
      <c r="S58" s="5"/>
      <c r="T58" s="5"/>
      <c r="U58" s="5"/>
    </row>
    <row r="59" spans="1:21" s="2" customFormat="1" x14ac:dyDescent="0.35">
      <c r="A59" s="46" t="s">
        <v>18</v>
      </c>
      <c r="B59" s="17"/>
      <c r="C59" s="44"/>
      <c r="D59" s="19"/>
      <c r="F59" s="4"/>
      <c r="M59" s="5"/>
      <c r="N59" s="5"/>
      <c r="O59" s="5"/>
      <c r="P59" s="5"/>
      <c r="Q59" s="5"/>
      <c r="R59" s="5"/>
      <c r="S59" s="5"/>
      <c r="T59" s="5"/>
      <c r="U59" s="5"/>
    </row>
    <row r="60" spans="1:21" s="2" customFormat="1" ht="44" customHeight="1" x14ac:dyDescent="0.35">
      <c r="A60" s="52" t="s">
        <v>25</v>
      </c>
      <c r="B60" s="52"/>
      <c r="C60" s="52"/>
      <c r="D60" s="52"/>
      <c r="E60" s="52"/>
      <c r="F60" s="52"/>
      <c r="G60" s="52"/>
      <c r="H60" s="52"/>
      <c r="I60" s="52"/>
      <c r="M60" s="5"/>
      <c r="N60" s="5"/>
      <c r="O60" s="5"/>
      <c r="P60" s="5"/>
      <c r="Q60" s="5"/>
      <c r="R60" s="5"/>
      <c r="S60" s="5"/>
      <c r="T60" s="5"/>
      <c r="U60" s="5"/>
    </row>
    <row r="61" spans="1:21" s="2" customFormat="1" ht="24" customHeight="1" x14ac:dyDescent="0.35">
      <c r="A61" s="52" t="s">
        <v>26</v>
      </c>
      <c r="B61" s="52"/>
      <c r="C61" s="52"/>
      <c r="D61" s="52"/>
      <c r="E61" s="52"/>
      <c r="F61" s="52"/>
      <c r="G61" s="52"/>
      <c r="H61" s="52"/>
      <c r="I61" s="52"/>
      <c r="M61" s="5"/>
      <c r="N61" s="5"/>
      <c r="O61" s="5"/>
      <c r="P61" s="5"/>
      <c r="Q61" s="5"/>
      <c r="R61" s="5"/>
      <c r="S61" s="5"/>
      <c r="T61" s="5"/>
      <c r="U61" s="5"/>
    </row>
    <row r="62" spans="1:21" s="2" customFormat="1" x14ac:dyDescent="0.35">
      <c r="A62" s="43"/>
      <c r="D62" s="19"/>
      <c r="F62" s="4"/>
      <c r="M62" s="5"/>
      <c r="N62" s="5"/>
      <c r="O62" s="5"/>
      <c r="P62" s="5"/>
      <c r="Q62" s="5"/>
      <c r="R62" s="5"/>
      <c r="S62" s="5"/>
      <c r="T62" s="5"/>
      <c r="U62" s="5"/>
    </row>
    <row r="63" spans="1:21" s="2" customFormat="1" x14ac:dyDescent="0.35">
      <c r="A63" s="43"/>
      <c r="B63" s="45"/>
      <c r="C63" s="44"/>
      <c r="D63" s="19"/>
      <c r="F63" s="4"/>
      <c r="M63" s="5"/>
      <c r="N63" s="5"/>
      <c r="O63" s="5"/>
      <c r="P63" s="5"/>
      <c r="Q63" s="5"/>
      <c r="R63" s="5"/>
      <c r="S63" s="5"/>
      <c r="T63" s="5"/>
      <c r="U63" s="5"/>
    </row>
    <row r="64" spans="1:21" s="2" customFormat="1" x14ac:dyDescent="0.35">
      <c r="A64" s="43"/>
      <c r="B64" s="45"/>
      <c r="C64" s="44"/>
      <c r="D64" s="19"/>
      <c r="F64" s="4"/>
      <c r="M64" s="5"/>
      <c r="N64" s="5"/>
      <c r="O64" s="5"/>
      <c r="P64" s="5"/>
      <c r="Q64" s="5"/>
      <c r="R64" s="5"/>
      <c r="S64" s="5"/>
      <c r="T64" s="5"/>
      <c r="U64" s="5"/>
    </row>
    <row r="65" spans="1:21" s="2" customFormat="1" x14ac:dyDescent="0.35">
      <c r="A65" s="43"/>
      <c r="B65" s="45"/>
      <c r="C65" s="44"/>
      <c r="D65" s="19"/>
      <c r="F65" s="4"/>
      <c r="M65" s="5"/>
      <c r="N65" s="5"/>
      <c r="O65" s="5"/>
      <c r="P65" s="5"/>
      <c r="Q65" s="5"/>
      <c r="R65" s="5"/>
      <c r="S65" s="5"/>
      <c r="T65" s="5"/>
      <c r="U65" s="5"/>
    </row>
    <row r="66" spans="1:21" s="2" customFormat="1" x14ac:dyDescent="0.35">
      <c r="A66" s="43"/>
      <c r="B66" s="45"/>
      <c r="C66" s="44"/>
      <c r="D66" s="19"/>
      <c r="F66" s="4"/>
      <c r="M66" s="5"/>
      <c r="N66" s="5"/>
      <c r="O66" s="5"/>
      <c r="P66" s="5"/>
      <c r="Q66" s="5"/>
      <c r="R66" s="5"/>
      <c r="S66" s="5"/>
      <c r="T66" s="5"/>
      <c r="U66" s="5"/>
    </row>
    <row r="67" spans="1:21" s="2" customFormat="1" x14ac:dyDescent="0.35">
      <c r="A67" s="43"/>
      <c r="B67" s="45"/>
      <c r="C67" s="44"/>
      <c r="D67" s="19"/>
      <c r="F67" s="4"/>
      <c r="M67" s="5"/>
      <c r="N67" s="5"/>
      <c r="O67" s="5"/>
      <c r="P67" s="5"/>
      <c r="Q67" s="5"/>
      <c r="R67" s="5"/>
      <c r="S67" s="5"/>
      <c r="T67" s="5"/>
      <c r="U67" s="5"/>
    </row>
    <row r="68" spans="1:21" s="2" customFormat="1" x14ac:dyDescent="0.35">
      <c r="A68" s="43"/>
      <c r="F68" s="4"/>
      <c r="M68" s="5"/>
      <c r="N68" s="5"/>
      <c r="O68" s="5"/>
      <c r="P68" s="5"/>
      <c r="Q68" s="5"/>
      <c r="R68" s="5"/>
      <c r="S68" s="5"/>
      <c r="T68" s="5"/>
      <c r="U68" s="5"/>
    </row>
    <row r="69" spans="1:21" s="2" customFormat="1" x14ac:dyDescent="0.35">
      <c r="A69" s="43"/>
      <c r="F69" s="4"/>
      <c r="M69" s="5"/>
      <c r="N69" s="5"/>
      <c r="O69" s="5"/>
      <c r="P69" s="5"/>
      <c r="Q69" s="5"/>
      <c r="R69" s="5"/>
      <c r="S69" s="5"/>
      <c r="T69" s="5"/>
      <c r="U69" s="5"/>
    </row>
    <row r="70" spans="1:21" s="2" customFormat="1" x14ac:dyDescent="0.35">
      <c r="A70" s="43"/>
      <c r="F70" s="4"/>
    </row>
    <row r="71" spans="1:21" s="2" customFormat="1" x14ac:dyDescent="0.35">
      <c r="A71" s="43"/>
      <c r="F71" s="4"/>
    </row>
    <row r="72" spans="1:21" s="2" customFormat="1" x14ac:dyDescent="0.35">
      <c r="A72" s="43"/>
      <c r="F72" s="4"/>
    </row>
    <row r="73" spans="1:21" s="2" customFormat="1" x14ac:dyDescent="0.35">
      <c r="A73" s="43"/>
      <c r="F73" s="4"/>
    </row>
    <row r="74" spans="1:21" s="2" customFormat="1" x14ac:dyDescent="0.35">
      <c r="A74" s="43"/>
      <c r="F74" s="4"/>
    </row>
    <row r="75" spans="1:21" s="2" customFormat="1" x14ac:dyDescent="0.35">
      <c r="A75" s="43"/>
      <c r="F75" s="4"/>
    </row>
    <row r="76" spans="1:21" s="2" customFormat="1" x14ac:dyDescent="0.35">
      <c r="A76" s="43"/>
      <c r="F76" s="4"/>
    </row>
    <row r="77" spans="1:21" s="2" customFormat="1" x14ac:dyDescent="0.35">
      <c r="A77" s="43"/>
      <c r="F77" s="4"/>
    </row>
  </sheetData>
  <mergeCells count="6">
    <mergeCell ref="A61:I61"/>
    <mergeCell ref="A12:A14"/>
    <mergeCell ref="B12:F12"/>
    <mergeCell ref="H12:H14"/>
    <mergeCell ref="I12:I14"/>
    <mergeCell ref="A60:I60"/>
  </mergeCell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12.5 MW diesel no tax</vt:lpstr>
      <vt:lpstr>12.5 MW diesel with tax</vt:lpstr>
      <vt:lpstr>'12.5 MW diesel no tax'!END_CAPEX_YEAR</vt:lpstr>
      <vt:lpstr>'12.5 MW diesel with tax'!END_CAPEX_YEAR</vt:lpstr>
      <vt:lpstr>'12.5 MW diesel no tax'!GWH</vt:lpstr>
      <vt:lpstr>'12.5 MW diesel with tax'!GWH</vt:lpstr>
      <vt:lpstr>'12.5 MW diesel no tax'!INFL</vt:lpstr>
      <vt:lpstr>'12.5 MW diesel with tax'!INFL</vt:lpstr>
      <vt:lpstr>'12.5 MW diesel no tax'!LIFE</vt:lpstr>
      <vt:lpstr>'12.5 MW diesel with tax'!LIFE</vt:lpstr>
      <vt:lpstr>'12.5 MW diesel no tax'!Print_Area</vt:lpstr>
      <vt:lpstr>'12.5 MW diesel with tax'!Print_Area</vt:lpstr>
      <vt:lpstr>'12.5 MW diesel no tax'!REAL_D_RATE</vt:lpstr>
      <vt:lpstr>'12.5 MW diesel with tax'!REAL_D_RATE</vt:lpstr>
      <vt:lpstr>'12.5 MW diesel no tax'!WACC</vt:lpstr>
      <vt:lpstr>'12.5 MW diesel with tax'!WACC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2022-07-20T02:34:04Z</dcterms:created>
  <dcterms:modified xsi:type="dcterms:W3CDTF">2022-07-20T16:08:03Z</dcterms:modified>
</cp:coreProperties>
</file>